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15390" windowHeight="7410" activeTab="1"/>
  </bookViews>
  <sheets>
    <sheet name="5-1 და 5-2 ა" sheetId="10" r:id="rId1"/>
    <sheet name="5-1 და 5-2 ბ " sheetId="5" r:id="rId2"/>
  </sheets>
  <definedNames>
    <definedName name="_xlnm.Print_Area" localSheetId="0">'5-1 და 5-2 ა'!$A$1:$F$17</definedName>
    <definedName name="_xlnm.Print_Area" localSheetId="1">'5-1 და 5-2 ბ '!$A$1:$P$56</definedName>
  </definedNames>
  <calcPr calcId="152511"/>
</workbook>
</file>

<file path=xl/calcChain.xml><?xml version="1.0" encoding="utf-8"?>
<calcChain xmlns="http://schemas.openxmlformats.org/spreadsheetml/2006/main">
  <c r="L19" i="5" l="1"/>
  <c r="O13" i="5"/>
  <c r="N8" i="5"/>
  <c r="O22" i="5"/>
  <c r="N19" i="5"/>
  <c r="P20" i="5"/>
  <c r="P19" i="5" s="1"/>
  <c r="G36" i="5" l="1"/>
  <c r="G35" i="5"/>
  <c r="F31" i="5"/>
  <c r="G24" i="5"/>
  <c r="G22" i="5"/>
  <c r="D9" i="10" l="1"/>
  <c r="O31" i="5" l="1"/>
  <c r="O28" i="5" l="1"/>
  <c r="O48" i="5"/>
  <c r="O29" i="5"/>
  <c r="K29" i="5"/>
  <c r="K28" i="5"/>
  <c r="K48" i="5"/>
  <c r="N48" i="5"/>
  <c r="O47" i="5"/>
  <c r="N47" i="5"/>
  <c r="K47" i="5"/>
  <c r="J47" i="5"/>
  <c r="O46" i="5"/>
  <c r="P45" i="5"/>
  <c r="P44" i="5"/>
  <c r="L44" i="5"/>
  <c r="L45" i="5"/>
  <c r="K46" i="5"/>
  <c r="O43" i="5"/>
  <c r="K43" i="5"/>
  <c r="O42" i="5"/>
  <c r="K42" i="5"/>
  <c r="O41" i="5"/>
  <c r="P38" i="5"/>
  <c r="O38" i="5"/>
  <c r="N38" i="5"/>
  <c r="L38" i="5"/>
  <c r="K38" i="5"/>
  <c r="J38" i="5"/>
  <c r="L36" i="5"/>
  <c r="L28" i="5" s="1"/>
  <c r="P36" i="5"/>
  <c r="O36" i="5"/>
  <c r="K36" i="5"/>
  <c r="O35" i="5"/>
  <c r="K35" i="5"/>
  <c r="P32" i="5"/>
  <c r="O32" i="5"/>
  <c r="L32" i="5"/>
  <c r="K32" i="5"/>
  <c r="P31" i="5"/>
  <c r="N31" i="5"/>
  <c r="K31" i="5"/>
  <c r="J31" i="5"/>
  <c r="P30" i="5"/>
  <c r="O30" i="5"/>
  <c r="L30" i="5"/>
  <c r="K30" i="5"/>
  <c r="P29" i="5"/>
  <c r="L29" i="5"/>
  <c r="O25" i="5"/>
  <c r="K25" i="5"/>
  <c r="O24" i="5"/>
  <c r="K24" i="5"/>
  <c r="K22" i="5"/>
  <c r="O11" i="5"/>
  <c r="K15" i="5"/>
  <c r="O15" i="5"/>
  <c r="L7" i="5"/>
  <c r="L6" i="5" s="1"/>
  <c r="H7" i="5"/>
  <c r="H6" i="5"/>
  <c r="P7" i="5"/>
  <c r="P6" i="5" s="1"/>
  <c r="K9" i="5"/>
  <c r="O14" i="5"/>
  <c r="E7" i="10"/>
  <c r="F7" i="10"/>
  <c r="D7" i="10"/>
  <c r="P28" i="5" l="1"/>
  <c r="K21" i="5" l="1"/>
  <c r="K45" i="5"/>
  <c r="K44" i="5" s="1"/>
  <c r="K20" i="5" l="1"/>
  <c r="K19" i="5" l="1"/>
  <c r="G7" i="5" l="1"/>
  <c r="O9" i="5"/>
  <c r="O7" i="5" s="1"/>
  <c r="O6" i="5" s="1"/>
  <c r="N45" i="5" l="1"/>
  <c r="N44" i="5" s="1"/>
  <c r="N28" i="5"/>
  <c r="N20" i="5" s="1"/>
  <c r="N7" i="5"/>
  <c r="N6" i="5" s="1"/>
  <c r="J28" i="5"/>
  <c r="J20" i="5" s="1"/>
  <c r="J45" i="5"/>
  <c r="J44" i="5" s="1"/>
  <c r="N54" i="5" l="1"/>
  <c r="J19" i="5"/>
  <c r="E53" i="5"/>
  <c r="E52" i="5"/>
  <c r="E51" i="5"/>
  <c r="E50" i="5"/>
  <c r="E49" i="5"/>
  <c r="E48" i="5"/>
  <c r="F45" i="5"/>
  <c r="F44" i="5" s="1"/>
  <c r="E47" i="5"/>
  <c r="E46" i="5"/>
  <c r="E45" i="5" s="1"/>
  <c r="O45" i="5"/>
  <c r="O44" i="5" s="1"/>
  <c r="G45" i="5"/>
  <c r="G44" i="5" s="1"/>
  <c r="D45" i="5"/>
  <c r="C45" i="5"/>
  <c r="C44" i="5" s="1"/>
  <c r="C19" i="5" s="1"/>
  <c r="B45" i="5"/>
  <c r="D44" i="5"/>
  <c r="B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8" i="5" s="1"/>
  <c r="E29" i="5"/>
  <c r="G28" i="5"/>
  <c r="F28" i="5"/>
  <c r="F20" i="5" s="1"/>
  <c r="D28" i="5"/>
  <c r="D20" i="5" s="1"/>
  <c r="D19" i="5" s="1"/>
  <c r="C28" i="5"/>
  <c r="B28" i="5"/>
  <c r="E27" i="5"/>
  <c r="E26" i="5"/>
  <c r="E25" i="5"/>
  <c r="E24" i="5"/>
  <c r="E23" i="5"/>
  <c r="E22" i="5"/>
  <c r="O21" i="5"/>
  <c r="O20" i="5" s="1"/>
  <c r="G21" i="5"/>
  <c r="D21" i="5"/>
  <c r="C21" i="5"/>
  <c r="B21" i="5"/>
  <c r="E21" i="5" s="1"/>
  <c r="C20" i="5"/>
  <c r="E18" i="5"/>
  <c r="C17" i="5"/>
  <c r="E17" i="5" s="1"/>
  <c r="E16" i="5"/>
  <c r="E14" i="5"/>
  <c r="E13" i="5"/>
  <c r="E12" i="5"/>
  <c r="E11" i="5"/>
  <c r="E10" i="5"/>
  <c r="K7" i="5"/>
  <c r="K6" i="5" s="1"/>
  <c r="D9" i="5"/>
  <c r="C9" i="5"/>
  <c r="C7" i="5" s="1"/>
  <c r="C6" i="5" s="1"/>
  <c r="C54" i="5" s="1"/>
  <c r="B9" i="5"/>
  <c r="B7" i="5" s="1"/>
  <c r="B6" i="5" s="1"/>
  <c r="J7" i="5"/>
  <c r="J6" i="5" s="1"/>
  <c r="F7" i="5"/>
  <c r="F6" i="5" s="1"/>
  <c r="D8" i="5"/>
  <c r="E8" i="5" s="1"/>
  <c r="G6" i="5"/>
  <c r="F19" i="5" l="1"/>
  <c r="F54" i="5" s="1"/>
  <c r="J54" i="5"/>
  <c r="B20" i="5"/>
  <c r="E20" i="5" s="1"/>
  <c r="E9" i="5"/>
  <c r="E7" i="5" s="1"/>
  <c r="E6" i="5" s="1"/>
  <c r="E44" i="5"/>
  <c r="O19" i="5"/>
  <c r="O54" i="5" s="1"/>
  <c r="G20" i="5"/>
  <c r="G19" i="5" s="1"/>
  <c r="G54" i="5" s="1"/>
  <c r="K54" i="5"/>
  <c r="B19" i="5"/>
  <c r="B54" i="5" s="1"/>
  <c r="D7" i="5"/>
  <c r="D6" i="5" s="1"/>
  <c r="D54" i="5" s="1"/>
  <c r="E19" i="5" l="1"/>
  <c r="E54" i="5" s="1"/>
</calcChain>
</file>

<file path=xl/sharedStrings.xml><?xml version="1.0" encoding="utf-8"?>
<sst xmlns="http://schemas.openxmlformats.org/spreadsheetml/2006/main" count="96" uniqueCount="75">
  <si>
    <r>
      <t xml:space="preserve">დანართი </t>
    </r>
    <r>
      <rPr>
        <b/>
        <i/>
        <sz val="12"/>
        <color indexed="8"/>
        <rFont val="Calibri"/>
        <family val="2"/>
      </rPr>
      <t>№5ბ</t>
    </r>
  </si>
  <si>
    <t>ათას ლარებში</t>
  </si>
  <si>
    <t>დასახელება</t>
  </si>
  <si>
    <t>2011 წელი</t>
  </si>
  <si>
    <t>დამტკიცებული გეგმა</t>
  </si>
  <si>
    <t>დაზუსტებული გეგმა</t>
  </si>
  <si>
    <t>საკასო შესრულება</t>
  </si>
  <si>
    <t>kanonmdeblobiT nebadarTuli sxva Semosavlebi</t>
  </si>
  <si>
    <t>grantebi</t>
  </si>
  <si>
    <t>sabiujeto asignebebi</t>
  </si>
  <si>
    <t>2011 wlis biujetiს შესრულება</t>
  </si>
  <si>
    <t>საბიუჯეტო სახსრები</t>
  </si>
  <si>
    <t>კანონმდებლობით ნებადართული შემოსავლები</t>
  </si>
  <si>
    <t>გრანტები</t>
  </si>
  <si>
    <t>შემოსულობები</t>
  </si>
  <si>
    <t>I. შემოსავლები</t>
  </si>
  <si>
    <t>საბიუჯეტო ასიგნებები</t>
  </si>
  <si>
    <t>საკუთარი შემოსავლები</t>
  </si>
  <si>
    <t>მათ შორის:</t>
  </si>
  <si>
    <t>გაწეული მომსახურებიდან</t>
  </si>
  <si>
    <t>დეპოზიტებზე საპროცენტო შემოსავლები</t>
  </si>
  <si>
    <t>სხვა ეკონომიკური საქმიანობიდან</t>
  </si>
  <si>
    <t>სხვა არაკლასიფიცირებული შემოსავლები</t>
  </si>
  <si>
    <t>II. არაფინანსური აქტივების კლება</t>
  </si>
  <si>
    <t>III. ფინანსური აქტივების კლება</t>
  </si>
  <si>
    <t>IV. ვალდებულებების ზრდა</t>
  </si>
  <si>
    <t>გადასახდელები</t>
  </si>
  <si>
    <t>I. ხარჯები</t>
  </si>
  <si>
    <t>შრომის ანაზღაურება</t>
  </si>
  <si>
    <t>თანამდებობრივი სარგო</t>
  </si>
  <si>
    <t>წოდებრივი სარგო</t>
  </si>
  <si>
    <t>პრემია</t>
  </si>
  <si>
    <t>დანამატი</t>
  </si>
  <si>
    <t>ჰონორარი</t>
  </si>
  <si>
    <t>კომპენსაცია</t>
  </si>
  <si>
    <t>საქონელი და მომსახურება</t>
  </si>
  <si>
    <t>შტატგარეშე მომუშავეთა ანაზღაურება</t>
  </si>
  <si>
    <t>მივლინება</t>
  </si>
  <si>
    <t>ოფისის ხარჯები</t>
  </si>
  <si>
    <t>წარმომადგენლობითი ხარჯები</t>
  </si>
  <si>
    <t>კვების ხარჯები</t>
  </si>
  <si>
    <t>სამედიცინო ხარჯები</t>
  </si>
  <si>
    <t xml:space="preserve">რბილი ინვენტარისა და უნიფორმის შეძენის და პირად ჰიგიენასთან დაკავშირებული ხარჯები </t>
  </si>
  <si>
    <t xml:space="preserve">ტრანსპორტის, ტექნიკისა და იარაღის ექსპლოატაციისა და მოვლა-შენახვის ხარჯები </t>
  </si>
  <si>
    <t>სამხედრო ტექნიკისა და ტყვია-წამლის შეძენის ხარჯი</t>
  </si>
  <si>
    <t xml:space="preserve"> სხვა დანარჩენი საქონელი და მომსახურება 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</si>
  <si>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</si>
  <si>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</si>
  <si>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</si>
  <si>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</si>
  <si>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II. არაფინანსური აქტივების ზრდა</t>
  </si>
  <si>
    <t>ძირითადი აქტივები</t>
  </si>
  <si>
    <t>შენობა-ნაგებობები</t>
  </si>
  <si>
    <t>მანქანა-დანადგარები და ინვენტარი</t>
  </si>
  <si>
    <t>სხვა ძირითადი აქტივები</t>
  </si>
  <si>
    <t>მატერიალური მარაგები</t>
  </si>
  <si>
    <t>ფასეულობები</t>
  </si>
  <si>
    <t>არაწარმოებული აქტივები</t>
  </si>
  <si>
    <t>III. ფინანსური აქტივების ზრდა</t>
  </si>
  <si>
    <t>IV. ვალდებულებების კლება</t>
  </si>
  <si>
    <t>ნაშთის ცვლილება</t>
  </si>
  <si>
    <r>
      <rPr>
        <b/>
        <sz val="10"/>
        <color indexed="8"/>
        <rFont val="Sylfaen"/>
        <family val="1"/>
      </rPr>
      <t xml:space="preserve">შენიშვნა *: </t>
    </r>
    <r>
      <rPr>
        <sz val="10"/>
        <color indexed="8"/>
        <rFont val="Sylfaen"/>
        <family val="1"/>
      </rPr>
      <t>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პირებისათვის.</t>
    </r>
  </si>
  <si>
    <r>
      <rPr>
        <b/>
        <sz val="10"/>
        <color indexed="8"/>
        <rFont val="Sylfaen"/>
        <family val="1"/>
      </rPr>
      <t xml:space="preserve">შენიშვნა **: </t>
    </r>
    <r>
      <rPr>
        <sz val="10"/>
        <color indexed="8"/>
        <rFont val="Sylfaen"/>
        <family val="1"/>
      </rPr>
      <t>დანართი ქვეყნდება კვარტალურად და წლიურად, შესაბამისად კვარტლის დასრულებიდან 1 თვის განმავლობაში, ხოლო წლის დასრულებიდან - 3 თვის განმავლობაში.</t>
    </r>
  </si>
  <si>
    <r>
      <t xml:space="preserve">დანართი </t>
    </r>
    <r>
      <rPr>
        <b/>
        <i/>
        <sz val="12"/>
        <color indexed="8"/>
        <rFont val="Calibri"/>
        <family val="2"/>
      </rPr>
      <t>№5ა</t>
    </r>
  </si>
  <si>
    <t>პროგრამული კოდი</t>
  </si>
  <si>
    <t>პროგრამის დასახელება</t>
  </si>
  <si>
    <t>ხარჯები</t>
  </si>
  <si>
    <t>არაფინანსური აქტივების ზრდა</t>
  </si>
  <si>
    <t>ვალდებულებების კლება</t>
  </si>
  <si>
    <r>
      <rPr>
        <b/>
        <sz val="11"/>
        <color indexed="8"/>
        <rFont val="Calibri"/>
        <family val="2"/>
      </rPr>
      <t xml:space="preserve">შენიშვნა *: </t>
    </r>
    <r>
      <rPr>
        <sz val="11"/>
        <color theme="1"/>
        <rFont val="Calibri"/>
        <family val="2"/>
        <scheme val="minor"/>
      </rPr>
      <t>დანართი გათვალისწინებულია საქართველოს იუსტიციის სამინისტროს აპარატისა და სახელმწიფო საქვეუწყებო დაწესებულების - საქართველოს პროკურატურისათვის.</t>
    </r>
  </si>
  <si>
    <r>
      <rPr>
        <b/>
        <sz val="11"/>
        <color indexed="8"/>
        <rFont val="Calibri"/>
        <family val="2"/>
      </rPr>
      <t xml:space="preserve">შენიშვნა **: </t>
    </r>
    <r>
      <rPr>
        <sz val="11"/>
        <color theme="1"/>
        <rFont val="Calibri"/>
        <family val="2"/>
        <scheme val="minor"/>
      </rPr>
      <t>დანართი ქვეყნდება კვარტალურად და წლიურად, შესაბამისად კვარტლის დასრულებიდან 1 თვის განმავლობაში, ხოლო წლის დასრულებიდან - 3 თვის განმავლობაში.</t>
    </r>
  </si>
  <si>
    <t>პროგრამა "იუსტიციის სახლის მომსახურებათა განვითარება და ხელმისაწვდომობა"</t>
  </si>
  <si>
    <t>სსიპ იუსტიციის სახლი-ის 2018-ის წლის დამტკიცებული და დაზუსტებული ბიუჯეტი და მისი შესრულება  01.01.2019-ის მდგომარეობით</t>
  </si>
  <si>
    <r>
      <t>სსიპ იუსტიციის სახლი</t>
    </r>
    <r>
      <rPr>
        <b/>
        <sz val="14"/>
        <color indexed="8"/>
        <rFont val="Sylfaen"/>
        <family val="1"/>
      </rPr>
      <t>-ის 2018 წლის დამტკიცებული და დაზუსტებული ბიუჯეტები და მათი შესრულება დაფინანსების წყაროების მიხედვით 01.01.2019-ის მდგომარეობით</t>
    </r>
  </si>
  <si>
    <t>26 08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</si>
</sst>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.0\ _G_E_L"/>
    <numFmt numFmtId="165" formatCode="_(* #,##0.0_);_(* \(#,##0.0\);_(* &quot;-&quot;??_);_(@_)"/>
    <numFmt numFmtId="166" formatCode="_-* #,##0.0\ _L_a_r_i_-;\-* #,##0.0\ _L_a_r_i_-;_-* &quot;-&quot;??\ _L_a_r_i_-;_-@_-"/>
    <numFmt numFmtId="167" formatCode="_-* #,##0.00\ _L_a_r_i_-;\-* #,##0.00\ _L_a_r_i_-;_-* &quot;-&quot;??\ _L_a_r_i_-;_-@_-"/>
    <numFmt numFmtId="168" formatCode="_-* #,##0.0\ _L_a_r_i_-;\-* #,##0.0\ _L_a_r_i_-;_-* &quot;-&quot;?\ _L_a_r_i_-;_-@_-"/>
    <numFmt numFmtId="169" formatCode="#,##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1"/>
      <name val="Sylfaen"/>
      <family val="1"/>
    </font>
    <font>
      <b/>
      <sz val="14"/>
      <color indexed="8"/>
      <name val="Sylfaen"/>
      <family val="1"/>
    </font>
    <font>
      <sz val="10"/>
      <color theme="1"/>
      <name val="Sylfaen"/>
      <family val="1"/>
    </font>
    <font>
      <b/>
      <sz val="8"/>
      <color theme="1"/>
      <name val="Sylfaen"/>
      <family val="1"/>
    </font>
    <font>
      <sz val="10"/>
      <name val="Arial"/>
      <family val="2"/>
    </font>
    <font>
      <b/>
      <sz val="10"/>
      <name val="Sylfaen"/>
      <family val="1"/>
    </font>
    <font>
      <b/>
      <sz val="10"/>
      <color rgb="FF000000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b/>
      <i/>
      <sz val="10"/>
      <color theme="1"/>
      <name val="Sylfaen"/>
      <family val="1"/>
    </font>
    <font>
      <i/>
      <sz val="10"/>
      <color theme="1"/>
      <name val="Sylfaen"/>
      <family val="1"/>
    </font>
    <font>
      <sz val="10"/>
      <color rgb="FF000000"/>
      <name val="Sylfaen"/>
      <family val="1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b/>
      <sz val="14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8"/>
      <name val="Sylfaen"/>
      <family val="1"/>
    </font>
    <font>
      <b/>
      <sz val="8"/>
      <name val="Arial"/>
      <family val="2"/>
    </font>
    <font>
      <b/>
      <sz val="8"/>
      <name val="LitNusx"/>
      <family val="2"/>
    </font>
    <font>
      <sz val="8"/>
      <name val="Arial"/>
      <family val="2"/>
    </font>
    <font>
      <i/>
      <sz val="8"/>
      <name val="LitNusx"/>
      <family val="2"/>
    </font>
    <font>
      <i/>
      <sz val="8"/>
      <name val="Sylfaen"/>
      <family val="1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67" fontId="21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 applyFill="1" applyProtection="1"/>
    <xf numFmtId="0" fontId="7" fillId="0" borderId="0" xfId="0" applyFont="1" applyFill="1" applyBorder="1"/>
    <xf numFmtId="0" fontId="11" fillId="0" borderId="5" xfId="0" applyFont="1" applyFill="1" applyBorder="1" applyAlignment="1">
      <alignment horizontal="center" vertical="center" wrapText="1"/>
    </xf>
    <xf numFmtId="0" fontId="10" fillId="0" borderId="5" xfId="2" applyFont="1" applyFill="1" applyBorder="1" applyAlignment="1" applyProtection="1">
      <alignment horizontal="center" vertical="center" wrapText="1"/>
    </xf>
    <xf numFmtId="0" fontId="10" fillId="0" borderId="5" xfId="2" applyFont="1" applyFill="1" applyBorder="1" applyAlignment="1" applyProtection="1">
      <alignment vertical="center" wrapText="1"/>
    </xf>
    <xf numFmtId="164" fontId="10" fillId="0" borderId="5" xfId="1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>
      <alignment horizontal="center" vertical="center" wrapText="1"/>
    </xf>
    <xf numFmtId="0" fontId="12" fillId="2" borderId="4" xfId="2" applyFont="1" applyFill="1" applyBorder="1" applyAlignment="1" applyProtection="1">
      <alignment horizontal="left" vertical="center" wrapText="1"/>
    </xf>
    <xf numFmtId="165" fontId="10" fillId="3" borderId="5" xfId="1" applyNumberFormat="1" applyFont="1" applyFill="1" applyBorder="1" applyAlignment="1" applyProtection="1">
      <alignment horizontal="right" vertical="center" wrapText="1"/>
    </xf>
    <xf numFmtId="4" fontId="12" fillId="2" borderId="5" xfId="0" applyNumberFormat="1" applyFont="1" applyFill="1" applyBorder="1"/>
    <xf numFmtId="0" fontId="12" fillId="2" borderId="5" xfId="0" applyFont="1" applyFill="1" applyBorder="1"/>
    <xf numFmtId="0" fontId="12" fillId="2" borderId="0" xfId="0" applyFont="1" applyFill="1" applyBorder="1"/>
    <xf numFmtId="0" fontId="12" fillId="0" borderId="4" xfId="2" applyFont="1" applyFill="1" applyBorder="1" applyAlignment="1" applyProtection="1">
      <alignment horizontal="left" vertical="center" wrapText="1" indent="1"/>
    </xf>
    <xf numFmtId="166" fontId="10" fillId="0" borderId="5" xfId="1" applyNumberFormat="1" applyFont="1" applyFill="1" applyBorder="1" applyAlignment="1" applyProtection="1">
      <alignment horizontal="right" vertical="center" wrapText="1"/>
    </xf>
    <xf numFmtId="4" fontId="12" fillId="0" borderId="5" xfId="0" applyNumberFormat="1" applyFont="1" applyFill="1" applyBorder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0" xfId="0" applyFont="1" applyFill="1" applyBorder="1"/>
    <xf numFmtId="0" fontId="7" fillId="0" borderId="4" xfId="2" applyFont="1" applyFill="1" applyBorder="1" applyAlignment="1" applyProtection="1">
      <alignment horizontal="left" vertical="center" indent="3"/>
    </xf>
    <xf numFmtId="0" fontId="7" fillId="0" borderId="5" xfId="0" applyFont="1" applyFill="1" applyBorder="1"/>
    <xf numFmtId="165" fontId="13" fillId="0" borderId="5" xfId="1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/>
    <xf numFmtId="0" fontId="7" fillId="0" borderId="6" xfId="0" applyFont="1" applyFill="1" applyBorder="1"/>
    <xf numFmtId="0" fontId="7" fillId="0" borderId="4" xfId="2" applyFont="1" applyFill="1" applyBorder="1" applyAlignment="1" applyProtection="1">
      <alignment horizontal="left" vertical="center" wrapText="1" indent="3"/>
    </xf>
    <xf numFmtId="166" fontId="13" fillId="0" borderId="5" xfId="1" applyNumberFormat="1" applyFont="1" applyFill="1" applyBorder="1" applyAlignment="1" applyProtection="1">
      <alignment horizontal="right" vertical="center" wrapText="1"/>
    </xf>
    <xf numFmtId="0" fontId="14" fillId="0" borderId="4" xfId="2" applyFont="1" applyFill="1" applyBorder="1" applyAlignment="1" applyProtection="1">
      <alignment horizontal="left" vertical="center" wrapText="1" indent="3"/>
    </xf>
    <xf numFmtId="165" fontId="10" fillId="0" borderId="5" xfId="1" applyNumberFormat="1" applyFont="1" applyFill="1" applyBorder="1" applyAlignment="1" applyProtection="1">
      <alignment horizontal="right" vertical="center" wrapText="1"/>
    </xf>
    <xf numFmtId="0" fontId="15" fillId="0" borderId="4" xfId="2" applyFont="1" applyFill="1" applyBorder="1" applyAlignment="1" applyProtection="1">
      <alignment horizontal="left" vertical="center" wrapText="1" indent="5"/>
    </xf>
    <xf numFmtId="165" fontId="16" fillId="0" borderId="5" xfId="1" applyNumberFormat="1" applyFont="1" applyFill="1" applyBorder="1" applyAlignment="1">
      <alignment horizontal="right"/>
    </xf>
    <xf numFmtId="165" fontId="11" fillId="0" borderId="5" xfId="1" applyNumberFormat="1" applyFont="1" applyFill="1" applyBorder="1" applyAlignment="1">
      <alignment horizontal="right"/>
    </xf>
    <xf numFmtId="4" fontId="12" fillId="0" borderId="0" xfId="0" applyNumberFormat="1" applyFont="1" applyFill="1" applyBorder="1"/>
    <xf numFmtId="167" fontId="12" fillId="0" borderId="5" xfId="0" applyNumberFormat="1" applyFont="1" applyFill="1" applyBorder="1"/>
    <xf numFmtId="0" fontId="10" fillId="0" borderId="4" xfId="2" applyFont="1" applyFill="1" applyBorder="1" applyAlignment="1" applyProtection="1">
      <alignment horizontal="left" vertical="center" wrapText="1" indent="1"/>
    </xf>
    <xf numFmtId="0" fontId="10" fillId="0" borderId="4" xfId="2" applyFont="1" applyFill="1" applyBorder="1" applyAlignment="1" applyProtection="1">
      <alignment horizontal="left" vertical="center" wrapText="1" indent="3"/>
    </xf>
    <xf numFmtId="0" fontId="13" fillId="0" borderId="4" xfId="2" applyFont="1" applyFill="1" applyBorder="1" applyAlignment="1" applyProtection="1">
      <alignment horizontal="left" vertical="center" wrapText="1" indent="4"/>
    </xf>
    <xf numFmtId="168" fontId="7" fillId="0" borderId="5" xfId="0" applyNumberFormat="1" applyFont="1" applyFill="1" applyBorder="1"/>
    <xf numFmtId="167" fontId="7" fillId="0" borderId="5" xfId="0" applyNumberFormat="1" applyFont="1" applyFill="1" applyBorder="1"/>
    <xf numFmtId="4" fontId="7" fillId="0" borderId="5" xfId="0" applyNumberFormat="1" applyFont="1" applyFill="1" applyBorder="1" applyAlignment="1">
      <alignment horizontal="center" vertical="center"/>
    </xf>
    <xf numFmtId="167" fontId="7" fillId="0" borderId="5" xfId="0" applyNumberFormat="1" applyFont="1" applyFill="1" applyBorder="1" applyAlignment="1">
      <alignment horizontal="center" vertical="center"/>
    </xf>
    <xf numFmtId="4" fontId="7" fillId="0" borderId="5" xfId="1" applyNumberFormat="1" applyFont="1" applyFill="1" applyBorder="1" applyAlignment="1">
      <alignment horizontal="center" vertical="center"/>
    </xf>
    <xf numFmtId="43" fontId="7" fillId="0" borderId="5" xfId="1" applyNumberFormat="1" applyFont="1" applyFill="1" applyBorder="1" applyAlignment="1">
      <alignment horizontal="center" vertical="center"/>
    </xf>
    <xf numFmtId="0" fontId="10" fillId="3" borderId="7" xfId="2" applyFont="1" applyFill="1" applyBorder="1" applyAlignment="1" applyProtection="1">
      <alignment horizontal="left" vertical="center" wrapText="1"/>
    </xf>
    <xf numFmtId="169" fontId="10" fillId="3" borderId="8" xfId="1" applyNumberFormat="1" applyFont="1" applyFill="1" applyBorder="1" applyAlignment="1" applyProtection="1">
      <alignment horizontal="right" vertical="center" wrapText="1"/>
    </xf>
    <xf numFmtId="4" fontId="12" fillId="2" borderId="8" xfId="0" applyNumberFormat="1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4" fontId="7" fillId="0" borderId="0" xfId="0" applyNumberFormat="1" applyFont="1" applyFill="1" applyBorder="1"/>
    <xf numFmtId="4" fontId="12" fillId="2" borderId="0" xfId="0" applyNumberFormat="1" applyFont="1" applyFill="1" applyBorder="1"/>
    <xf numFmtId="0" fontId="2" fillId="0" borderId="0" xfId="0" applyFont="1" applyFill="1" applyAlignment="1" applyProtection="1"/>
    <xf numFmtId="164" fontId="10" fillId="2" borderId="1" xfId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10" fillId="2" borderId="2" xfId="1" applyNumberFormat="1" applyFont="1" applyFill="1" applyBorder="1" applyAlignment="1">
      <alignment horizontal="center" vertical="center" wrapText="1"/>
    </xf>
    <xf numFmtId="164" fontId="10" fillId="2" borderId="3" xfId="1" applyNumberFormat="1" applyFont="1" applyFill="1" applyBorder="1" applyAlignment="1">
      <alignment horizontal="center" vertical="center" wrapText="1"/>
    </xf>
    <xf numFmtId="0" fontId="24" fillId="0" borderId="4" xfId="0" quotePrefix="1" applyFont="1" applyFill="1" applyBorder="1" applyAlignment="1">
      <alignment horizontal="center" vertical="center" wrapText="1"/>
    </xf>
    <xf numFmtId="0" fontId="25" fillId="0" borderId="5" xfId="0" quotePrefix="1" applyFont="1" applyFill="1" applyBorder="1" applyAlignment="1">
      <alignment horizontal="center" vertical="center" wrapText="1"/>
    </xf>
    <xf numFmtId="0" fontId="25" fillId="0" borderId="5" xfId="0" applyFont="1" applyFill="1" applyBorder="1" applyAlignment="1" applyProtection="1">
      <alignment horizontal="left" vertical="center" wrapText="1" indent="1"/>
    </xf>
    <xf numFmtId="164" fontId="26" fillId="0" borderId="5" xfId="1" applyNumberFormat="1" applyFont="1" applyFill="1" applyBorder="1" applyAlignment="1">
      <alignment horizontal="center" wrapText="1"/>
    </xf>
    <xf numFmtId="164" fontId="26" fillId="0" borderId="6" xfId="1" applyNumberFormat="1" applyFont="1" applyFill="1" applyBorder="1" applyAlignment="1">
      <alignment horizontal="center" wrapText="1"/>
    </xf>
    <xf numFmtId="0" fontId="27" fillId="0" borderId="5" xfId="0" applyFont="1" applyFill="1" applyBorder="1" applyAlignment="1" applyProtection="1">
      <alignment horizontal="left" vertical="center" wrapText="1" indent="2"/>
    </xf>
    <xf numFmtId="0" fontId="28" fillId="0" borderId="5" xfId="0" applyFont="1" applyFill="1" applyBorder="1" applyAlignment="1" applyProtection="1">
      <alignment horizontal="left" vertical="center" wrapText="1" indent="2"/>
    </xf>
    <xf numFmtId="0" fontId="25" fillId="0" borderId="8" xfId="0" applyFont="1" applyFill="1" applyBorder="1" applyAlignment="1" applyProtection="1">
      <alignment horizontal="left" vertical="center" wrapText="1" indent="1"/>
    </xf>
    <xf numFmtId="164" fontId="26" fillId="0" borderId="8" xfId="1" applyNumberFormat="1" applyFont="1" applyFill="1" applyBorder="1" applyAlignment="1">
      <alignment horizontal="center" wrapText="1"/>
    </xf>
    <xf numFmtId="164" fontId="26" fillId="0" borderId="9" xfId="1" applyNumberFormat="1" applyFont="1" applyFill="1" applyBorder="1" applyAlignment="1">
      <alignment horizontal="center" wrapText="1"/>
    </xf>
    <xf numFmtId="4" fontId="12" fillId="0" borderId="6" xfId="0" applyNumberFormat="1" applyFont="1" applyFill="1" applyBorder="1"/>
    <xf numFmtId="0" fontId="0" fillId="0" borderId="0" xfId="0" applyAlignment="1">
      <alignment horizontal="left" vertical="center" wrapText="1"/>
    </xf>
    <xf numFmtId="0" fontId="2" fillId="0" borderId="0" xfId="0" applyFont="1" applyFill="1" applyAlignment="1" applyProtection="1">
      <alignment horizontal="right"/>
    </xf>
    <xf numFmtId="0" fontId="1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right"/>
    </xf>
    <xf numFmtId="0" fontId="23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10" fillId="0" borderId="1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</cellXfs>
  <cellStyles count="4">
    <cellStyle name="Comma" xfId="1" builtinId="3"/>
    <cellStyle name="Comma 4" xf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17"/>
  <sheetViews>
    <sheetView view="pageBreakPreview" zoomScaleNormal="100" zoomScaleSheetLayoutView="100" workbookViewId="0">
      <selection activeCell="E7" sqref="E7"/>
    </sheetView>
  </sheetViews>
  <sheetFormatPr defaultRowHeight="15" x14ac:dyDescent="0.25"/>
  <cols>
    <col min="1" max="1" width="22.28515625" customWidth="1"/>
    <col min="2" max="2" width="49" customWidth="1"/>
    <col min="3" max="3" width="3.85546875" customWidth="1"/>
    <col min="4" max="6" width="32.7109375" customWidth="1"/>
    <col min="256" max="256" width="22.28515625" customWidth="1"/>
    <col min="257" max="257" width="52" customWidth="1"/>
    <col min="258" max="258" width="3.85546875" customWidth="1"/>
    <col min="259" max="261" width="28.5703125" customWidth="1"/>
    <col min="512" max="512" width="22.28515625" customWidth="1"/>
    <col min="513" max="513" width="52" customWidth="1"/>
    <col min="514" max="514" width="3.85546875" customWidth="1"/>
    <col min="515" max="517" width="28.5703125" customWidth="1"/>
    <col min="768" max="768" width="22.28515625" customWidth="1"/>
    <col min="769" max="769" width="52" customWidth="1"/>
    <col min="770" max="770" width="3.85546875" customWidth="1"/>
    <col min="771" max="773" width="28.5703125" customWidth="1"/>
    <col min="1024" max="1024" width="22.28515625" customWidth="1"/>
    <col min="1025" max="1025" width="52" customWidth="1"/>
    <col min="1026" max="1026" width="3.85546875" customWidth="1"/>
    <col min="1027" max="1029" width="28.5703125" customWidth="1"/>
    <col min="1280" max="1280" width="22.28515625" customWidth="1"/>
    <col min="1281" max="1281" width="52" customWidth="1"/>
    <col min="1282" max="1282" width="3.85546875" customWidth="1"/>
    <col min="1283" max="1285" width="28.5703125" customWidth="1"/>
    <col min="1536" max="1536" width="22.28515625" customWidth="1"/>
    <col min="1537" max="1537" width="52" customWidth="1"/>
    <col min="1538" max="1538" width="3.85546875" customWidth="1"/>
    <col min="1539" max="1541" width="28.5703125" customWidth="1"/>
    <col min="1792" max="1792" width="22.28515625" customWidth="1"/>
    <col min="1793" max="1793" width="52" customWidth="1"/>
    <col min="1794" max="1794" width="3.85546875" customWidth="1"/>
    <col min="1795" max="1797" width="28.5703125" customWidth="1"/>
    <col min="2048" max="2048" width="22.28515625" customWidth="1"/>
    <col min="2049" max="2049" width="52" customWidth="1"/>
    <col min="2050" max="2050" width="3.85546875" customWidth="1"/>
    <col min="2051" max="2053" width="28.5703125" customWidth="1"/>
    <col min="2304" max="2304" width="22.28515625" customWidth="1"/>
    <col min="2305" max="2305" width="52" customWidth="1"/>
    <col min="2306" max="2306" width="3.85546875" customWidth="1"/>
    <col min="2307" max="2309" width="28.5703125" customWidth="1"/>
    <col min="2560" max="2560" width="22.28515625" customWidth="1"/>
    <col min="2561" max="2561" width="52" customWidth="1"/>
    <col min="2562" max="2562" width="3.85546875" customWidth="1"/>
    <col min="2563" max="2565" width="28.5703125" customWidth="1"/>
    <col min="2816" max="2816" width="22.28515625" customWidth="1"/>
    <col min="2817" max="2817" width="52" customWidth="1"/>
    <col min="2818" max="2818" width="3.85546875" customWidth="1"/>
    <col min="2819" max="2821" width="28.5703125" customWidth="1"/>
    <col min="3072" max="3072" width="22.28515625" customWidth="1"/>
    <col min="3073" max="3073" width="52" customWidth="1"/>
    <col min="3074" max="3074" width="3.85546875" customWidth="1"/>
    <col min="3075" max="3077" width="28.5703125" customWidth="1"/>
    <col min="3328" max="3328" width="22.28515625" customWidth="1"/>
    <col min="3329" max="3329" width="52" customWidth="1"/>
    <col min="3330" max="3330" width="3.85546875" customWidth="1"/>
    <col min="3331" max="3333" width="28.5703125" customWidth="1"/>
    <col min="3584" max="3584" width="22.28515625" customWidth="1"/>
    <col min="3585" max="3585" width="52" customWidth="1"/>
    <col min="3586" max="3586" width="3.85546875" customWidth="1"/>
    <col min="3587" max="3589" width="28.5703125" customWidth="1"/>
    <col min="3840" max="3840" width="22.28515625" customWidth="1"/>
    <col min="3841" max="3841" width="52" customWidth="1"/>
    <col min="3842" max="3842" width="3.85546875" customWidth="1"/>
    <col min="3843" max="3845" width="28.5703125" customWidth="1"/>
    <col min="4096" max="4096" width="22.28515625" customWidth="1"/>
    <col min="4097" max="4097" width="52" customWidth="1"/>
    <col min="4098" max="4098" width="3.85546875" customWidth="1"/>
    <col min="4099" max="4101" width="28.5703125" customWidth="1"/>
    <col min="4352" max="4352" width="22.28515625" customWidth="1"/>
    <col min="4353" max="4353" width="52" customWidth="1"/>
    <col min="4354" max="4354" width="3.85546875" customWidth="1"/>
    <col min="4355" max="4357" width="28.5703125" customWidth="1"/>
    <col min="4608" max="4608" width="22.28515625" customWidth="1"/>
    <col min="4609" max="4609" width="52" customWidth="1"/>
    <col min="4610" max="4610" width="3.85546875" customWidth="1"/>
    <col min="4611" max="4613" width="28.5703125" customWidth="1"/>
    <col min="4864" max="4864" width="22.28515625" customWidth="1"/>
    <col min="4865" max="4865" width="52" customWidth="1"/>
    <col min="4866" max="4866" width="3.85546875" customWidth="1"/>
    <col min="4867" max="4869" width="28.5703125" customWidth="1"/>
    <col min="5120" max="5120" width="22.28515625" customWidth="1"/>
    <col min="5121" max="5121" width="52" customWidth="1"/>
    <col min="5122" max="5122" width="3.85546875" customWidth="1"/>
    <col min="5123" max="5125" width="28.5703125" customWidth="1"/>
    <col min="5376" max="5376" width="22.28515625" customWidth="1"/>
    <col min="5377" max="5377" width="52" customWidth="1"/>
    <col min="5378" max="5378" width="3.85546875" customWidth="1"/>
    <col min="5379" max="5381" width="28.5703125" customWidth="1"/>
    <col min="5632" max="5632" width="22.28515625" customWidth="1"/>
    <col min="5633" max="5633" width="52" customWidth="1"/>
    <col min="5634" max="5634" width="3.85546875" customWidth="1"/>
    <col min="5635" max="5637" width="28.5703125" customWidth="1"/>
    <col min="5888" max="5888" width="22.28515625" customWidth="1"/>
    <col min="5889" max="5889" width="52" customWidth="1"/>
    <col min="5890" max="5890" width="3.85546875" customWidth="1"/>
    <col min="5891" max="5893" width="28.5703125" customWidth="1"/>
    <col min="6144" max="6144" width="22.28515625" customWidth="1"/>
    <col min="6145" max="6145" width="52" customWidth="1"/>
    <col min="6146" max="6146" width="3.85546875" customWidth="1"/>
    <col min="6147" max="6149" width="28.5703125" customWidth="1"/>
    <col min="6400" max="6400" width="22.28515625" customWidth="1"/>
    <col min="6401" max="6401" width="52" customWidth="1"/>
    <col min="6402" max="6402" width="3.85546875" customWidth="1"/>
    <col min="6403" max="6405" width="28.5703125" customWidth="1"/>
    <col min="6656" max="6656" width="22.28515625" customWidth="1"/>
    <col min="6657" max="6657" width="52" customWidth="1"/>
    <col min="6658" max="6658" width="3.85546875" customWidth="1"/>
    <col min="6659" max="6661" width="28.5703125" customWidth="1"/>
    <col min="6912" max="6912" width="22.28515625" customWidth="1"/>
    <col min="6913" max="6913" width="52" customWidth="1"/>
    <col min="6914" max="6914" width="3.85546875" customWidth="1"/>
    <col min="6915" max="6917" width="28.5703125" customWidth="1"/>
    <col min="7168" max="7168" width="22.28515625" customWidth="1"/>
    <col min="7169" max="7169" width="52" customWidth="1"/>
    <col min="7170" max="7170" width="3.85546875" customWidth="1"/>
    <col min="7171" max="7173" width="28.5703125" customWidth="1"/>
    <col min="7424" max="7424" width="22.28515625" customWidth="1"/>
    <col min="7425" max="7425" width="52" customWidth="1"/>
    <col min="7426" max="7426" width="3.85546875" customWidth="1"/>
    <col min="7427" max="7429" width="28.5703125" customWidth="1"/>
    <col min="7680" max="7680" width="22.28515625" customWidth="1"/>
    <col min="7681" max="7681" width="52" customWidth="1"/>
    <col min="7682" max="7682" width="3.85546875" customWidth="1"/>
    <col min="7683" max="7685" width="28.5703125" customWidth="1"/>
    <col min="7936" max="7936" width="22.28515625" customWidth="1"/>
    <col min="7937" max="7937" width="52" customWidth="1"/>
    <col min="7938" max="7938" width="3.85546875" customWidth="1"/>
    <col min="7939" max="7941" width="28.5703125" customWidth="1"/>
    <col min="8192" max="8192" width="22.28515625" customWidth="1"/>
    <col min="8193" max="8193" width="52" customWidth="1"/>
    <col min="8194" max="8194" width="3.85546875" customWidth="1"/>
    <col min="8195" max="8197" width="28.5703125" customWidth="1"/>
    <col min="8448" max="8448" width="22.28515625" customWidth="1"/>
    <col min="8449" max="8449" width="52" customWidth="1"/>
    <col min="8450" max="8450" width="3.85546875" customWidth="1"/>
    <col min="8451" max="8453" width="28.5703125" customWidth="1"/>
    <col min="8704" max="8704" width="22.28515625" customWidth="1"/>
    <col min="8705" max="8705" width="52" customWidth="1"/>
    <col min="8706" max="8706" width="3.85546875" customWidth="1"/>
    <col min="8707" max="8709" width="28.5703125" customWidth="1"/>
    <col min="8960" max="8960" width="22.28515625" customWidth="1"/>
    <col min="8961" max="8961" width="52" customWidth="1"/>
    <col min="8962" max="8962" width="3.85546875" customWidth="1"/>
    <col min="8963" max="8965" width="28.5703125" customWidth="1"/>
    <col min="9216" max="9216" width="22.28515625" customWidth="1"/>
    <col min="9217" max="9217" width="52" customWidth="1"/>
    <col min="9218" max="9218" width="3.85546875" customWidth="1"/>
    <col min="9219" max="9221" width="28.5703125" customWidth="1"/>
    <col min="9472" max="9472" width="22.28515625" customWidth="1"/>
    <col min="9473" max="9473" width="52" customWidth="1"/>
    <col min="9474" max="9474" width="3.85546875" customWidth="1"/>
    <col min="9475" max="9477" width="28.5703125" customWidth="1"/>
    <col min="9728" max="9728" width="22.28515625" customWidth="1"/>
    <col min="9729" max="9729" width="52" customWidth="1"/>
    <col min="9730" max="9730" width="3.85546875" customWidth="1"/>
    <col min="9731" max="9733" width="28.5703125" customWidth="1"/>
    <col min="9984" max="9984" width="22.28515625" customWidth="1"/>
    <col min="9985" max="9985" width="52" customWidth="1"/>
    <col min="9986" max="9986" width="3.85546875" customWidth="1"/>
    <col min="9987" max="9989" width="28.5703125" customWidth="1"/>
    <col min="10240" max="10240" width="22.28515625" customWidth="1"/>
    <col min="10241" max="10241" width="52" customWidth="1"/>
    <col min="10242" max="10242" width="3.85546875" customWidth="1"/>
    <col min="10243" max="10245" width="28.5703125" customWidth="1"/>
    <col min="10496" max="10496" width="22.28515625" customWidth="1"/>
    <col min="10497" max="10497" width="52" customWidth="1"/>
    <col min="10498" max="10498" width="3.85546875" customWidth="1"/>
    <col min="10499" max="10501" width="28.5703125" customWidth="1"/>
    <col min="10752" max="10752" width="22.28515625" customWidth="1"/>
    <col min="10753" max="10753" width="52" customWidth="1"/>
    <col min="10754" max="10754" width="3.85546875" customWidth="1"/>
    <col min="10755" max="10757" width="28.5703125" customWidth="1"/>
    <col min="11008" max="11008" width="22.28515625" customWidth="1"/>
    <col min="11009" max="11009" width="52" customWidth="1"/>
    <col min="11010" max="11010" width="3.85546875" customWidth="1"/>
    <col min="11011" max="11013" width="28.5703125" customWidth="1"/>
    <col min="11264" max="11264" width="22.28515625" customWidth="1"/>
    <col min="11265" max="11265" width="52" customWidth="1"/>
    <col min="11266" max="11266" width="3.85546875" customWidth="1"/>
    <col min="11267" max="11269" width="28.5703125" customWidth="1"/>
    <col min="11520" max="11520" width="22.28515625" customWidth="1"/>
    <col min="11521" max="11521" width="52" customWidth="1"/>
    <col min="11522" max="11522" width="3.85546875" customWidth="1"/>
    <col min="11523" max="11525" width="28.5703125" customWidth="1"/>
    <col min="11776" max="11776" width="22.28515625" customWidth="1"/>
    <col min="11777" max="11777" width="52" customWidth="1"/>
    <col min="11778" max="11778" width="3.85546875" customWidth="1"/>
    <col min="11779" max="11781" width="28.5703125" customWidth="1"/>
    <col min="12032" max="12032" width="22.28515625" customWidth="1"/>
    <col min="12033" max="12033" width="52" customWidth="1"/>
    <col min="12034" max="12034" width="3.85546875" customWidth="1"/>
    <col min="12035" max="12037" width="28.5703125" customWidth="1"/>
    <col min="12288" max="12288" width="22.28515625" customWidth="1"/>
    <col min="12289" max="12289" width="52" customWidth="1"/>
    <col min="12290" max="12290" width="3.85546875" customWidth="1"/>
    <col min="12291" max="12293" width="28.5703125" customWidth="1"/>
    <col min="12544" max="12544" width="22.28515625" customWidth="1"/>
    <col min="12545" max="12545" width="52" customWidth="1"/>
    <col min="12546" max="12546" width="3.85546875" customWidth="1"/>
    <col min="12547" max="12549" width="28.5703125" customWidth="1"/>
    <col min="12800" max="12800" width="22.28515625" customWidth="1"/>
    <col min="12801" max="12801" width="52" customWidth="1"/>
    <col min="12802" max="12802" width="3.85546875" customWidth="1"/>
    <col min="12803" max="12805" width="28.5703125" customWidth="1"/>
    <col min="13056" max="13056" width="22.28515625" customWidth="1"/>
    <col min="13057" max="13057" width="52" customWidth="1"/>
    <col min="13058" max="13058" width="3.85546875" customWidth="1"/>
    <col min="13059" max="13061" width="28.5703125" customWidth="1"/>
    <col min="13312" max="13312" width="22.28515625" customWidth="1"/>
    <col min="13313" max="13313" width="52" customWidth="1"/>
    <col min="13314" max="13314" width="3.85546875" customWidth="1"/>
    <col min="13315" max="13317" width="28.5703125" customWidth="1"/>
    <col min="13568" max="13568" width="22.28515625" customWidth="1"/>
    <col min="13569" max="13569" width="52" customWidth="1"/>
    <col min="13570" max="13570" width="3.85546875" customWidth="1"/>
    <col min="13571" max="13573" width="28.5703125" customWidth="1"/>
    <col min="13824" max="13824" width="22.28515625" customWidth="1"/>
    <col min="13825" max="13825" width="52" customWidth="1"/>
    <col min="13826" max="13826" width="3.85546875" customWidth="1"/>
    <col min="13827" max="13829" width="28.5703125" customWidth="1"/>
    <col min="14080" max="14080" width="22.28515625" customWidth="1"/>
    <col min="14081" max="14081" width="52" customWidth="1"/>
    <col min="14082" max="14082" width="3.85546875" customWidth="1"/>
    <col min="14083" max="14085" width="28.5703125" customWidth="1"/>
    <col min="14336" max="14336" width="22.28515625" customWidth="1"/>
    <col min="14337" max="14337" width="52" customWidth="1"/>
    <col min="14338" max="14338" width="3.85546875" customWidth="1"/>
    <col min="14339" max="14341" width="28.5703125" customWidth="1"/>
    <col min="14592" max="14592" width="22.28515625" customWidth="1"/>
    <col min="14593" max="14593" width="52" customWidth="1"/>
    <col min="14594" max="14594" width="3.85546875" customWidth="1"/>
    <col min="14595" max="14597" width="28.5703125" customWidth="1"/>
    <col min="14848" max="14848" width="22.28515625" customWidth="1"/>
    <col min="14849" max="14849" width="52" customWidth="1"/>
    <col min="14850" max="14850" width="3.85546875" customWidth="1"/>
    <col min="14851" max="14853" width="28.5703125" customWidth="1"/>
    <col min="15104" max="15104" width="22.28515625" customWidth="1"/>
    <col min="15105" max="15105" width="52" customWidth="1"/>
    <col min="15106" max="15106" width="3.85546875" customWidth="1"/>
    <col min="15107" max="15109" width="28.5703125" customWidth="1"/>
    <col min="15360" max="15360" width="22.28515625" customWidth="1"/>
    <col min="15361" max="15361" width="52" customWidth="1"/>
    <col min="15362" max="15362" width="3.85546875" customWidth="1"/>
    <col min="15363" max="15365" width="28.5703125" customWidth="1"/>
    <col min="15616" max="15616" width="22.28515625" customWidth="1"/>
    <col min="15617" max="15617" width="52" customWidth="1"/>
    <col min="15618" max="15618" width="3.85546875" customWidth="1"/>
    <col min="15619" max="15621" width="28.5703125" customWidth="1"/>
    <col min="15872" max="15872" width="22.28515625" customWidth="1"/>
    <col min="15873" max="15873" width="52" customWidth="1"/>
    <col min="15874" max="15874" width="3.85546875" customWidth="1"/>
    <col min="15875" max="15877" width="28.5703125" customWidth="1"/>
    <col min="16128" max="16128" width="22.28515625" customWidth="1"/>
    <col min="16129" max="16129" width="52" customWidth="1"/>
    <col min="16130" max="16130" width="3.85546875" customWidth="1"/>
    <col min="16131" max="16133" width="28.5703125" customWidth="1"/>
  </cols>
  <sheetData>
    <row r="1" spans="1:11" s="1" customFormat="1" ht="26.25" customHeight="1" x14ac:dyDescent="0.25">
      <c r="A1" s="66" t="s">
        <v>63</v>
      </c>
      <c r="B1" s="66"/>
      <c r="C1" s="66"/>
      <c r="D1" s="66"/>
      <c r="E1" s="66"/>
      <c r="F1" s="66"/>
      <c r="G1" s="49"/>
      <c r="H1" s="49"/>
      <c r="I1" s="49"/>
      <c r="J1" s="49"/>
      <c r="K1" s="49"/>
    </row>
    <row r="2" spans="1:11" x14ac:dyDescent="0.25">
      <c r="A2" s="67" t="s">
        <v>72</v>
      </c>
      <c r="B2" s="68"/>
      <c r="C2" s="68"/>
      <c r="D2" s="68"/>
      <c r="E2" s="68"/>
      <c r="F2" s="68"/>
    </row>
    <row r="3" spans="1:11" ht="81" customHeight="1" x14ac:dyDescent="0.25">
      <c r="A3" s="68"/>
      <c r="B3" s="68"/>
      <c r="C3" s="68"/>
      <c r="D3" s="68"/>
      <c r="E3" s="68"/>
      <c r="F3" s="68"/>
    </row>
    <row r="4" spans="1:11" ht="15.75" thickBot="1" x14ac:dyDescent="0.3">
      <c r="A4" s="69" t="s">
        <v>1</v>
      </c>
      <c r="B4" s="69"/>
      <c r="C4" s="69"/>
      <c r="D4" s="69"/>
      <c r="E4" s="69"/>
      <c r="F4" s="69"/>
    </row>
    <row r="5" spans="1:11" ht="28.5" customHeight="1" x14ac:dyDescent="0.25">
      <c r="A5" s="50" t="s">
        <v>64</v>
      </c>
      <c r="B5" s="51" t="s">
        <v>65</v>
      </c>
      <c r="C5" s="70"/>
      <c r="D5" s="52" t="s">
        <v>4</v>
      </c>
      <c r="E5" s="52" t="s">
        <v>5</v>
      </c>
      <c r="F5" s="53" t="s">
        <v>6</v>
      </c>
    </row>
    <row r="6" spans="1:11" ht="39.75" customHeight="1" x14ac:dyDescent="0.25">
      <c r="A6" s="54" t="s">
        <v>74</v>
      </c>
      <c r="B6" s="55" t="s">
        <v>71</v>
      </c>
      <c r="C6" s="71"/>
      <c r="D6" s="55" t="s">
        <v>71</v>
      </c>
      <c r="E6" s="55" t="s">
        <v>71</v>
      </c>
      <c r="F6" s="55" t="s">
        <v>71</v>
      </c>
    </row>
    <row r="7" spans="1:11" ht="28.5" customHeight="1" x14ac:dyDescent="0.25">
      <c r="A7" s="73"/>
      <c r="B7" s="56" t="s">
        <v>66</v>
      </c>
      <c r="C7" s="71"/>
      <c r="D7" s="57">
        <f>D8+D9+D10+D11+D12+D13+D14+D15</f>
        <v>33870.699999999997</v>
      </c>
      <c r="E7" s="57">
        <f>E8+E9+E10+E11+E12+E13+E14+E15</f>
        <v>36150.720000000001</v>
      </c>
      <c r="F7" s="57">
        <f>F8+F9+F10+F11+F12+F13+F14+F15</f>
        <v>31494.590899999999</v>
      </c>
    </row>
    <row r="8" spans="1:11" ht="28.5" customHeight="1" x14ac:dyDescent="0.25">
      <c r="A8" s="73"/>
      <c r="B8" s="59" t="s">
        <v>28</v>
      </c>
      <c r="C8" s="71"/>
      <c r="D8" s="57">
        <v>10720</v>
      </c>
      <c r="E8" s="57">
        <v>10076.6</v>
      </c>
      <c r="F8" s="58">
        <v>10040.064000000002</v>
      </c>
    </row>
    <row r="9" spans="1:11" ht="28.5" customHeight="1" x14ac:dyDescent="0.25">
      <c r="A9" s="73"/>
      <c r="B9" s="59" t="s">
        <v>35</v>
      </c>
      <c r="C9" s="71"/>
      <c r="D9" s="57">
        <f>10861300/1000</f>
        <v>10861.3</v>
      </c>
      <c r="E9" s="57">
        <v>11908.02</v>
      </c>
      <c r="F9" s="58">
        <v>11256.21</v>
      </c>
    </row>
    <row r="10" spans="1:11" ht="28.5" customHeight="1" x14ac:dyDescent="0.25">
      <c r="A10" s="73"/>
      <c r="B10" s="59" t="s">
        <v>13</v>
      </c>
      <c r="C10" s="71"/>
      <c r="D10" s="57">
        <v>106</v>
      </c>
      <c r="E10" s="57">
        <v>149</v>
      </c>
      <c r="F10" s="58">
        <v>146.80000000000001</v>
      </c>
    </row>
    <row r="11" spans="1:11" ht="28.5" customHeight="1" x14ac:dyDescent="0.25">
      <c r="A11" s="73"/>
      <c r="B11" s="59" t="s">
        <v>47</v>
      </c>
      <c r="C11" s="71"/>
      <c r="D11" s="57"/>
      <c r="E11" s="57"/>
      <c r="F11" s="58"/>
    </row>
    <row r="12" spans="1:11" ht="28.5" customHeight="1" x14ac:dyDescent="0.25">
      <c r="A12" s="73"/>
      <c r="B12" s="60" t="s">
        <v>48</v>
      </c>
      <c r="C12" s="71"/>
      <c r="D12" s="57">
        <v>579.5</v>
      </c>
      <c r="E12" s="57">
        <v>810.5</v>
      </c>
      <c r="F12" s="58">
        <v>802.2</v>
      </c>
    </row>
    <row r="13" spans="1:11" ht="28.5" customHeight="1" x14ac:dyDescent="0.25">
      <c r="A13" s="73"/>
      <c r="B13" s="59" t="s">
        <v>49</v>
      </c>
      <c r="C13" s="71"/>
      <c r="D13" s="57">
        <v>577.20000000000005</v>
      </c>
      <c r="E13" s="57">
        <v>322.2</v>
      </c>
      <c r="F13" s="58">
        <v>320.33690000000001</v>
      </c>
    </row>
    <row r="14" spans="1:11" ht="28.5" customHeight="1" x14ac:dyDescent="0.25">
      <c r="A14" s="73"/>
      <c r="B14" s="56" t="s">
        <v>67</v>
      </c>
      <c r="C14" s="71"/>
      <c r="D14" s="57">
        <v>11026.7</v>
      </c>
      <c r="E14" s="57">
        <v>12884.4</v>
      </c>
      <c r="F14" s="58">
        <v>8928.98</v>
      </c>
    </row>
    <row r="15" spans="1:11" ht="28.5" customHeight="1" thickBot="1" x14ac:dyDescent="0.3">
      <c r="A15" s="74"/>
      <c r="B15" s="61" t="s">
        <v>68</v>
      </c>
      <c r="C15" s="72"/>
      <c r="D15" s="62"/>
      <c r="E15" s="62"/>
      <c r="F15" s="63"/>
    </row>
    <row r="16" spans="1:11" ht="46.5" customHeight="1" x14ac:dyDescent="0.25">
      <c r="A16" s="75" t="s">
        <v>69</v>
      </c>
      <c r="B16" s="75"/>
      <c r="C16" s="75"/>
      <c r="D16" s="75"/>
      <c r="E16" s="75"/>
      <c r="F16" s="75"/>
    </row>
    <row r="17" spans="1:6" ht="36" customHeight="1" x14ac:dyDescent="0.25">
      <c r="A17" s="65" t="s">
        <v>70</v>
      </c>
      <c r="B17" s="65"/>
      <c r="C17" s="65"/>
      <c r="D17" s="65"/>
      <c r="E17" s="65"/>
      <c r="F17" s="65"/>
    </row>
  </sheetData>
  <mergeCells count="7">
    <mergeCell ref="A17:F17"/>
    <mergeCell ref="A1:F1"/>
    <mergeCell ref="A2:F3"/>
    <mergeCell ref="A4:F4"/>
    <mergeCell ref="C5:C15"/>
    <mergeCell ref="A7:A15"/>
    <mergeCell ref="A16:F16"/>
  </mergeCells>
  <printOptions horizontalCentered="1"/>
  <pageMargins left="0.17" right="0.1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S56"/>
  <sheetViews>
    <sheetView tabSelected="1" view="pageBreakPreview" zoomScaleNormal="100" zoomScaleSheetLayoutView="100" workbookViewId="0">
      <selection activeCell="P19" sqref="P19"/>
    </sheetView>
  </sheetViews>
  <sheetFormatPr defaultRowHeight="15" x14ac:dyDescent="0.3"/>
  <cols>
    <col min="1" max="1" width="46.7109375" style="2" customWidth="1"/>
    <col min="2" max="2" width="17.7109375" style="2" hidden="1" customWidth="1"/>
    <col min="3" max="3" width="15.140625" style="2" hidden="1" customWidth="1"/>
    <col min="4" max="4" width="16.5703125" style="2" hidden="1" customWidth="1"/>
    <col min="5" max="5" width="15.85546875" style="2" hidden="1" customWidth="1"/>
    <col min="6" max="8" width="19.7109375" style="2" customWidth="1"/>
    <col min="9" max="9" width="4.85546875" style="2" customWidth="1"/>
    <col min="10" max="12" width="19.7109375" style="2" customWidth="1"/>
    <col min="13" max="13" width="4.5703125" style="2" customWidth="1"/>
    <col min="14" max="16" width="19.7109375" style="2" customWidth="1"/>
    <col min="17" max="17" width="9.85546875" style="2" bestFit="1" customWidth="1"/>
    <col min="18" max="18" width="11" style="2" bestFit="1" customWidth="1"/>
    <col min="19" max="19" width="12.85546875" style="2" customWidth="1"/>
    <col min="20" max="256" width="9.140625" style="2"/>
    <col min="257" max="257" width="46.7109375" style="2" customWidth="1"/>
    <col min="258" max="261" width="0" style="2" hidden="1" customWidth="1"/>
    <col min="262" max="264" width="19.7109375" style="2" customWidth="1"/>
    <col min="265" max="265" width="4.85546875" style="2" customWidth="1"/>
    <col min="266" max="268" width="19.7109375" style="2" customWidth="1"/>
    <col min="269" max="269" width="4.5703125" style="2" customWidth="1"/>
    <col min="270" max="272" width="19.7109375" style="2" customWidth="1"/>
    <col min="273" max="273" width="9.140625" style="2"/>
    <col min="274" max="274" width="11" style="2" bestFit="1" customWidth="1"/>
    <col min="275" max="275" width="12.85546875" style="2" customWidth="1"/>
    <col min="276" max="512" width="9.140625" style="2"/>
    <col min="513" max="513" width="46.7109375" style="2" customWidth="1"/>
    <col min="514" max="517" width="0" style="2" hidden="1" customWidth="1"/>
    <col min="518" max="520" width="19.7109375" style="2" customWidth="1"/>
    <col min="521" max="521" width="4.85546875" style="2" customWidth="1"/>
    <col min="522" max="524" width="19.7109375" style="2" customWidth="1"/>
    <col min="525" max="525" width="4.5703125" style="2" customWidth="1"/>
    <col min="526" max="528" width="19.7109375" style="2" customWidth="1"/>
    <col min="529" max="529" width="9.140625" style="2"/>
    <col min="530" max="530" width="11" style="2" bestFit="1" customWidth="1"/>
    <col min="531" max="531" width="12.85546875" style="2" customWidth="1"/>
    <col min="532" max="768" width="9.140625" style="2"/>
    <col min="769" max="769" width="46.7109375" style="2" customWidth="1"/>
    <col min="770" max="773" width="0" style="2" hidden="1" customWidth="1"/>
    <col min="774" max="776" width="19.7109375" style="2" customWidth="1"/>
    <col min="777" max="777" width="4.85546875" style="2" customWidth="1"/>
    <col min="778" max="780" width="19.7109375" style="2" customWidth="1"/>
    <col min="781" max="781" width="4.5703125" style="2" customWidth="1"/>
    <col min="782" max="784" width="19.7109375" style="2" customWidth="1"/>
    <col min="785" max="785" width="9.140625" style="2"/>
    <col min="786" max="786" width="11" style="2" bestFit="1" customWidth="1"/>
    <col min="787" max="787" width="12.85546875" style="2" customWidth="1"/>
    <col min="788" max="1024" width="9.140625" style="2"/>
    <col min="1025" max="1025" width="46.7109375" style="2" customWidth="1"/>
    <col min="1026" max="1029" width="0" style="2" hidden="1" customWidth="1"/>
    <col min="1030" max="1032" width="19.7109375" style="2" customWidth="1"/>
    <col min="1033" max="1033" width="4.85546875" style="2" customWidth="1"/>
    <col min="1034" max="1036" width="19.7109375" style="2" customWidth="1"/>
    <col min="1037" max="1037" width="4.5703125" style="2" customWidth="1"/>
    <col min="1038" max="1040" width="19.7109375" style="2" customWidth="1"/>
    <col min="1041" max="1041" width="9.140625" style="2"/>
    <col min="1042" max="1042" width="11" style="2" bestFit="1" customWidth="1"/>
    <col min="1043" max="1043" width="12.85546875" style="2" customWidth="1"/>
    <col min="1044" max="1280" width="9.140625" style="2"/>
    <col min="1281" max="1281" width="46.7109375" style="2" customWidth="1"/>
    <col min="1282" max="1285" width="0" style="2" hidden="1" customWidth="1"/>
    <col min="1286" max="1288" width="19.7109375" style="2" customWidth="1"/>
    <col min="1289" max="1289" width="4.85546875" style="2" customWidth="1"/>
    <col min="1290" max="1292" width="19.7109375" style="2" customWidth="1"/>
    <col min="1293" max="1293" width="4.5703125" style="2" customWidth="1"/>
    <col min="1294" max="1296" width="19.7109375" style="2" customWidth="1"/>
    <col min="1297" max="1297" width="9.140625" style="2"/>
    <col min="1298" max="1298" width="11" style="2" bestFit="1" customWidth="1"/>
    <col min="1299" max="1299" width="12.85546875" style="2" customWidth="1"/>
    <col min="1300" max="1536" width="9.140625" style="2"/>
    <col min="1537" max="1537" width="46.7109375" style="2" customWidth="1"/>
    <col min="1538" max="1541" width="0" style="2" hidden="1" customWidth="1"/>
    <col min="1542" max="1544" width="19.7109375" style="2" customWidth="1"/>
    <col min="1545" max="1545" width="4.85546875" style="2" customWidth="1"/>
    <col min="1546" max="1548" width="19.7109375" style="2" customWidth="1"/>
    <col min="1549" max="1549" width="4.5703125" style="2" customWidth="1"/>
    <col min="1550" max="1552" width="19.7109375" style="2" customWidth="1"/>
    <col min="1553" max="1553" width="9.140625" style="2"/>
    <col min="1554" max="1554" width="11" style="2" bestFit="1" customWidth="1"/>
    <col min="1555" max="1555" width="12.85546875" style="2" customWidth="1"/>
    <col min="1556" max="1792" width="9.140625" style="2"/>
    <col min="1793" max="1793" width="46.7109375" style="2" customWidth="1"/>
    <col min="1794" max="1797" width="0" style="2" hidden="1" customWidth="1"/>
    <col min="1798" max="1800" width="19.7109375" style="2" customWidth="1"/>
    <col min="1801" max="1801" width="4.85546875" style="2" customWidth="1"/>
    <col min="1802" max="1804" width="19.7109375" style="2" customWidth="1"/>
    <col min="1805" max="1805" width="4.5703125" style="2" customWidth="1"/>
    <col min="1806" max="1808" width="19.7109375" style="2" customWidth="1"/>
    <col min="1809" max="1809" width="9.140625" style="2"/>
    <col min="1810" max="1810" width="11" style="2" bestFit="1" customWidth="1"/>
    <col min="1811" max="1811" width="12.85546875" style="2" customWidth="1"/>
    <col min="1812" max="2048" width="9.140625" style="2"/>
    <col min="2049" max="2049" width="46.7109375" style="2" customWidth="1"/>
    <col min="2050" max="2053" width="0" style="2" hidden="1" customWidth="1"/>
    <col min="2054" max="2056" width="19.7109375" style="2" customWidth="1"/>
    <col min="2057" max="2057" width="4.85546875" style="2" customWidth="1"/>
    <col min="2058" max="2060" width="19.7109375" style="2" customWidth="1"/>
    <col min="2061" max="2061" width="4.5703125" style="2" customWidth="1"/>
    <col min="2062" max="2064" width="19.7109375" style="2" customWidth="1"/>
    <col min="2065" max="2065" width="9.140625" style="2"/>
    <col min="2066" max="2066" width="11" style="2" bestFit="1" customWidth="1"/>
    <col min="2067" max="2067" width="12.85546875" style="2" customWidth="1"/>
    <col min="2068" max="2304" width="9.140625" style="2"/>
    <col min="2305" max="2305" width="46.7109375" style="2" customWidth="1"/>
    <col min="2306" max="2309" width="0" style="2" hidden="1" customWidth="1"/>
    <col min="2310" max="2312" width="19.7109375" style="2" customWidth="1"/>
    <col min="2313" max="2313" width="4.85546875" style="2" customWidth="1"/>
    <col min="2314" max="2316" width="19.7109375" style="2" customWidth="1"/>
    <col min="2317" max="2317" width="4.5703125" style="2" customWidth="1"/>
    <col min="2318" max="2320" width="19.7109375" style="2" customWidth="1"/>
    <col min="2321" max="2321" width="9.140625" style="2"/>
    <col min="2322" max="2322" width="11" style="2" bestFit="1" customWidth="1"/>
    <col min="2323" max="2323" width="12.85546875" style="2" customWidth="1"/>
    <col min="2324" max="2560" width="9.140625" style="2"/>
    <col min="2561" max="2561" width="46.7109375" style="2" customWidth="1"/>
    <col min="2562" max="2565" width="0" style="2" hidden="1" customWidth="1"/>
    <col min="2566" max="2568" width="19.7109375" style="2" customWidth="1"/>
    <col min="2569" max="2569" width="4.85546875" style="2" customWidth="1"/>
    <col min="2570" max="2572" width="19.7109375" style="2" customWidth="1"/>
    <col min="2573" max="2573" width="4.5703125" style="2" customWidth="1"/>
    <col min="2574" max="2576" width="19.7109375" style="2" customWidth="1"/>
    <col min="2577" max="2577" width="9.140625" style="2"/>
    <col min="2578" max="2578" width="11" style="2" bestFit="1" customWidth="1"/>
    <col min="2579" max="2579" width="12.85546875" style="2" customWidth="1"/>
    <col min="2580" max="2816" width="9.140625" style="2"/>
    <col min="2817" max="2817" width="46.7109375" style="2" customWidth="1"/>
    <col min="2818" max="2821" width="0" style="2" hidden="1" customWidth="1"/>
    <col min="2822" max="2824" width="19.7109375" style="2" customWidth="1"/>
    <col min="2825" max="2825" width="4.85546875" style="2" customWidth="1"/>
    <col min="2826" max="2828" width="19.7109375" style="2" customWidth="1"/>
    <col min="2829" max="2829" width="4.5703125" style="2" customWidth="1"/>
    <col min="2830" max="2832" width="19.7109375" style="2" customWidth="1"/>
    <col min="2833" max="2833" width="9.140625" style="2"/>
    <col min="2834" max="2834" width="11" style="2" bestFit="1" customWidth="1"/>
    <col min="2835" max="2835" width="12.85546875" style="2" customWidth="1"/>
    <col min="2836" max="3072" width="9.140625" style="2"/>
    <col min="3073" max="3073" width="46.7109375" style="2" customWidth="1"/>
    <col min="3074" max="3077" width="0" style="2" hidden="1" customWidth="1"/>
    <col min="3078" max="3080" width="19.7109375" style="2" customWidth="1"/>
    <col min="3081" max="3081" width="4.85546875" style="2" customWidth="1"/>
    <col min="3082" max="3084" width="19.7109375" style="2" customWidth="1"/>
    <col min="3085" max="3085" width="4.5703125" style="2" customWidth="1"/>
    <col min="3086" max="3088" width="19.7109375" style="2" customWidth="1"/>
    <col min="3089" max="3089" width="9.140625" style="2"/>
    <col min="3090" max="3090" width="11" style="2" bestFit="1" customWidth="1"/>
    <col min="3091" max="3091" width="12.85546875" style="2" customWidth="1"/>
    <col min="3092" max="3328" width="9.140625" style="2"/>
    <col min="3329" max="3329" width="46.7109375" style="2" customWidth="1"/>
    <col min="3330" max="3333" width="0" style="2" hidden="1" customWidth="1"/>
    <col min="3334" max="3336" width="19.7109375" style="2" customWidth="1"/>
    <col min="3337" max="3337" width="4.85546875" style="2" customWidth="1"/>
    <col min="3338" max="3340" width="19.7109375" style="2" customWidth="1"/>
    <col min="3341" max="3341" width="4.5703125" style="2" customWidth="1"/>
    <col min="3342" max="3344" width="19.7109375" style="2" customWidth="1"/>
    <col min="3345" max="3345" width="9.140625" style="2"/>
    <col min="3346" max="3346" width="11" style="2" bestFit="1" customWidth="1"/>
    <col min="3347" max="3347" width="12.85546875" style="2" customWidth="1"/>
    <col min="3348" max="3584" width="9.140625" style="2"/>
    <col min="3585" max="3585" width="46.7109375" style="2" customWidth="1"/>
    <col min="3586" max="3589" width="0" style="2" hidden="1" customWidth="1"/>
    <col min="3590" max="3592" width="19.7109375" style="2" customWidth="1"/>
    <col min="3593" max="3593" width="4.85546875" style="2" customWidth="1"/>
    <col min="3594" max="3596" width="19.7109375" style="2" customWidth="1"/>
    <col min="3597" max="3597" width="4.5703125" style="2" customWidth="1"/>
    <col min="3598" max="3600" width="19.7109375" style="2" customWidth="1"/>
    <col min="3601" max="3601" width="9.140625" style="2"/>
    <col min="3602" max="3602" width="11" style="2" bestFit="1" customWidth="1"/>
    <col min="3603" max="3603" width="12.85546875" style="2" customWidth="1"/>
    <col min="3604" max="3840" width="9.140625" style="2"/>
    <col min="3841" max="3841" width="46.7109375" style="2" customWidth="1"/>
    <col min="3842" max="3845" width="0" style="2" hidden="1" customWidth="1"/>
    <col min="3846" max="3848" width="19.7109375" style="2" customWidth="1"/>
    <col min="3849" max="3849" width="4.85546875" style="2" customWidth="1"/>
    <col min="3850" max="3852" width="19.7109375" style="2" customWidth="1"/>
    <col min="3853" max="3853" width="4.5703125" style="2" customWidth="1"/>
    <col min="3854" max="3856" width="19.7109375" style="2" customWidth="1"/>
    <col min="3857" max="3857" width="9.140625" style="2"/>
    <col min="3858" max="3858" width="11" style="2" bestFit="1" customWidth="1"/>
    <col min="3859" max="3859" width="12.85546875" style="2" customWidth="1"/>
    <col min="3860" max="4096" width="9.140625" style="2"/>
    <col min="4097" max="4097" width="46.7109375" style="2" customWidth="1"/>
    <col min="4098" max="4101" width="0" style="2" hidden="1" customWidth="1"/>
    <col min="4102" max="4104" width="19.7109375" style="2" customWidth="1"/>
    <col min="4105" max="4105" width="4.85546875" style="2" customWidth="1"/>
    <col min="4106" max="4108" width="19.7109375" style="2" customWidth="1"/>
    <col min="4109" max="4109" width="4.5703125" style="2" customWidth="1"/>
    <col min="4110" max="4112" width="19.7109375" style="2" customWidth="1"/>
    <col min="4113" max="4113" width="9.140625" style="2"/>
    <col min="4114" max="4114" width="11" style="2" bestFit="1" customWidth="1"/>
    <col min="4115" max="4115" width="12.85546875" style="2" customWidth="1"/>
    <col min="4116" max="4352" width="9.140625" style="2"/>
    <col min="4353" max="4353" width="46.7109375" style="2" customWidth="1"/>
    <col min="4354" max="4357" width="0" style="2" hidden="1" customWidth="1"/>
    <col min="4358" max="4360" width="19.7109375" style="2" customWidth="1"/>
    <col min="4361" max="4361" width="4.85546875" style="2" customWidth="1"/>
    <col min="4362" max="4364" width="19.7109375" style="2" customWidth="1"/>
    <col min="4365" max="4365" width="4.5703125" style="2" customWidth="1"/>
    <col min="4366" max="4368" width="19.7109375" style="2" customWidth="1"/>
    <col min="4369" max="4369" width="9.140625" style="2"/>
    <col min="4370" max="4370" width="11" style="2" bestFit="1" customWidth="1"/>
    <col min="4371" max="4371" width="12.85546875" style="2" customWidth="1"/>
    <col min="4372" max="4608" width="9.140625" style="2"/>
    <col min="4609" max="4609" width="46.7109375" style="2" customWidth="1"/>
    <col min="4610" max="4613" width="0" style="2" hidden="1" customWidth="1"/>
    <col min="4614" max="4616" width="19.7109375" style="2" customWidth="1"/>
    <col min="4617" max="4617" width="4.85546875" style="2" customWidth="1"/>
    <col min="4618" max="4620" width="19.7109375" style="2" customWidth="1"/>
    <col min="4621" max="4621" width="4.5703125" style="2" customWidth="1"/>
    <col min="4622" max="4624" width="19.7109375" style="2" customWidth="1"/>
    <col min="4625" max="4625" width="9.140625" style="2"/>
    <col min="4626" max="4626" width="11" style="2" bestFit="1" customWidth="1"/>
    <col min="4627" max="4627" width="12.85546875" style="2" customWidth="1"/>
    <col min="4628" max="4864" width="9.140625" style="2"/>
    <col min="4865" max="4865" width="46.7109375" style="2" customWidth="1"/>
    <col min="4866" max="4869" width="0" style="2" hidden="1" customWidth="1"/>
    <col min="4870" max="4872" width="19.7109375" style="2" customWidth="1"/>
    <col min="4873" max="4873" width="4.85546875" style="2" customWidth="1"/>
    <col min="4874" max="4876" width="19.7109375" style="2" customWidth="1"/>
    <col min="4877" max="4877" width="4.5703125" style="2" customWidth="1"/>
    <col min="4878" max="4880" width="19.7109375" style="2" customWidth="1"/>
    <col min="4881" max="4881" width="9.140625" style="2"/>
    <col min="4882" max="4882" width="11" style="2" bestFit="1" customWidth="1"/>
    <col min="4883" max="4883" width="12.85546875" style="2" customWidth="1"/>
    <col min="4884" max="5120" width="9.140625" style="2"/>
    <col min="5121" max="5121" width="46.7109375" style="2" customWidth="1"/>
    <col min="5122" max="5125" width="0" style="2" hidden="1" customWidth="1"/>
    <col min="5126" max="5128" width="19.7109375" style="2" customWidth="1"/>
    <col min="5129" max="5129" width="4.85546875" style="2" customWidth="1"/>
    <col min="5130" max="5132" width="19.7109375" style="2" customWidth="1"/>
    <col min="5133" max="5133" width="4.5703125" style="2" customWidth="1"/>
    <col min="5134" max="5136" width="19.7109375" style="2" customWidth="1"/>
    <col min="5137" max="5137" width="9.140625" style="2"/>
    <col min="5138" max="5138" width="11" style="2" bestFit="1" customWidth="1"/>
    <col min="5139" max="5139" width="12.85546875" style="2" customWidth="1"/>
    <col min="5140" max="5376" width="9.140625" style="2"/>
    <col min="5377" max="5377" width="46.7109375" style="2" customWidth="1"/>
    <col min="5378" max="5381" width="0" style="2" hidden="1" customWidth="1"/>
    <col min="5382" max="5384" width="19.7109375" style="2" customWidth="1"/>
    <col min="5385" max="5385" width="4.85546875" style="2" customWidth="1"/>
    <col min="5386" max="5388" width="19.7109375" style="2" customWidth="1"/>
    <col min="5389" max="5389" width="4.5703125" style="2" customWidth="1"/>
    <col min="5390" max="5392" width="19.7109375" style="2" customWidth="1"/>
    <col min="5393" max="5393" width="9.140625" style="2"/>
    <col min="5394" max="5394" width="11" style="2" bestFit="1" customWidth="1"/>
    <col min="5395" max="5395" width="12.85546875" style="2" customWidth="1"/>
    <col min="5396" max="5632" width="9.140625" style="2"/>
    <col min="5633" max="5633" width="46.7109375" style="2" customWidth="1"/>
    <col min="5634" max="5637" width="0" style="2" hidden="1" customWidth="1"/>
    <col min="5638" max="5640" width="19.7109375" style="2" customWidth="1"/>
    <col min="5641" max="5641" width="4.85546875" style="2" customWidth="1"/>
    <col min="5642" max="5644" width="19.7109375" style="2" customWidth="1"/>
    <col min="5645" max="5645" width="4.5703125" style="2" customWidth="1"/>
    <col min="5646" max="5648" width="19.7109375" style="2" customWidth="1"/>
    <col min="5649" max="5649" width="9.140625" style="2"/>
    <col min="5650" max="5650" width="11" style="2" bestFit="1" customWidth="1"/>
    <col min="5651" max="5651" width="12.85546875" style="2" customWidth="1"/>
    <col min="5652" max="5888" width="9.140625" style="2"/>
    <col min="5889" max="5889" width="46.7109375" style="2" customWidth="1"/>
    <col min="5890" max="5893" width="0" style="2" hidden="1" customWidth="1"/>
    <col min="5894" max="5896" width="19.7109375" style="2" customWidth="1"/>
    <col min="5897" max="5897" width="4.85546875" style="2" customWidth="1"/>
    <col min="5898" max="5900" width="19.7109375" style="2" customWidth="1"/>
    <col min="5901" max="5901" width="4.5703125" style="2" customWidth="1"/>
    <col min="5902" max="5904" width="19.7109375" style="2" customWidth="1"/>
    <col min="5905" max="5905" width="9.140625" style="2"/>
    <col min="5906" max="5906" width="11" style="2" bestFit="1" customWidth="1"/>
    <col min="5907" max="5907" width="12.85546875" style="2" customWidth="1"/>
    <col min="5908" max="6144" width="9.140625" style="2"/>
    <col min="6145" max="6145" width="46.7109375" style="2" customWidth="1"/>
    <col min="6146" max="6149" width="0" style="2" hidden="1" customWidth="1"/>
    <col min="6150" max="6152" width="19.7109375" style="2" customWidth="1"/>
    <col min="6153" max="6153" width="4.85546875" style="2" customWidth="1"/>
    <col min="6154" max="6156" width="19.7109375" style="2" customWidth="1"/>
    <col min="6157" max="6157" width="4.5703125" style="2" customWidth="1"/>
    <col min="6158" max="6160" width="19.7109375" style="2" customWidth="1"/>
    <col min="6161" max="6161" width="9.140625" style="2"/>
    <col min="6162" max="6162" width="11" style="2" bestFit="1" customWidth="1"/>
    <col min="6163" max="6163" width="12.85546875" style="2" customWidth="1"/>
    <col min="6164" max="6400" width="9.140625" style="2"/>
    <col min="6401" max="6401" width="46.7109375" style="2" customWidth="1"/>
    <col min="6402" max="6405" width="0" style="2" hidden="1" customWidth="1"/>
    <col min="6406" max="6408" width="19.7109375" style="2" customWidth="1"/>
    <col min="6409" max="6409" width="4.85546875" style="2" customWidth="1"/>
    <col min="6410" max="6412" width="19.7109375" style="2" customWidth="1"/>
    <col min="6413" max="6413" width="4.5703125" style="2" customWidth="1"/>
    <col min="6414" max="6416" width="19.7109375" style="2" customWidth="1"/>
    <col min="6417" max="6417" width="9.140625" style="2"/>
    <col min="6418" max="6418" width="11" style="2" bestFit="1" customWidth="1"/>
    <col min="6419" max="6419" width="12.85546875" style="2" customWidth="1"/>
    <col min="6420" max="6656" width="9.140625" style="2"/>
    <col min="6657" max="6657" width="46.7109375" style="2" customWidth="1"/>
    <col min="6658" max="6661" width="0" style="2" hidden="1" customWidth="1"/>
    <col min="6662" max="6664" width="19.7109375" style="2" customWidth="1"/>
    <col min="6665" max="6665" width="4.85546875" style="2" customWidth="1"/>
    <col min="6666" max="6668" width="19.7109375" style="2" customWidth="1"/>
    <col min="6669" max="6669" width="4.5703125" style="2" customWidth="1"/>
    <col min="6670" max="6672" width="19.7109375" style="2" customWidth="1"/>
    <col min="6673" max="6673" width="9.140625" style="2"/>
    <col min="6674" max="6674" width="11" style="2" bestFit="1" customWidth="1"/>
    <col min="6675" max="6675" width="12.85546875" style="2" customWidth="1"/>
    <col min="6676" max="6912" width="9.140625" style="2"/>
    <col min="6913" max="6913" width="46.7109375" style="2" customWidth="1"/>
    <col min="6914" max="6917" width="0" style="2" hidden="1" customWidth="1"/>
    <col min="6918" max="6920" width="19.7109375" style="2" customWidth="1"/>
    <col min="6921" max="6921" width="4.85546875" style="2" customWidth="1"/>
    <col min="6922" max="6924" width="19.7109375" style="2" customWidth="1"/>
    <col min="6925" max="6925" width="4.5703125" style="2" customWidth="1"/>
    <col min="6926" max="6928" width="19.7109375" style="2" customWidth="1"/>
    <col min="6929" max="6929" width="9.140625" style="2"/>
    <col min="6930" max="6930" width="11" style="2" bestFit="1" customWidth="1"/>
    <col min="6931" max="6931" width="12.85546875" style="2" customWidth="1"/>
    <col min="6932" max="7168" width="9.140625" style="2"/>
    <col min="7169" max="7169" width="46.7109375" style="2" customWidth="1"/>
    <col min="7170" max="7173" width="0" style="2" hidden="1" customWidth="1"/>
    <col min="7174" max="7176" width="19.7109375" style="2" customWidth="1"/>
    <col min="7177" max="7177" width="4.85546875" style="2" customWidth="1"/>
    <col min="7178" max="7180" width="19.7109375" style="2" customWidth="1"/>
    <col min="7181" max="7181" width="4.5703125" style="2" customWidth="1"/>
    <col min="7182" max="7184" width="19.7109375" style="2" customWidth="1"/>
    <col min="7185" max="7185" width="9.140625" style="2"/>
    <col min="7186" max="7186" width="11" style="2" bestFit="1" customWidth="1"/>
    <col min="7187" max="7187" width="12.85546875" style="2" customWidth="1"/>
    <col min="7188" max="7424" width="9.140625" style="2"/>
    <col min="7425" max="7425" width="46.7109375" style="2" customWidth="1"/>
    <col min="7426" max="7429" width="0" style="2" hidden="1" customWidth="1"/>
    <col min="7430" max="7432" width="19.7109375" style="2" customWidth="1"/>
    <col min="7433" max="7433" width="4.85546875" style="2" customWidth="1"/>
    <col min="7434" max="7436" width="19.7109375" style="2" customWidth="1"/>
    <col min="7437" max="7437" width="4.5703125" style="2" customWidth="1"/>
    <col min="7438" max="7440" width="19.7109375" style="2" customWidth="1"/>
    <col min="7441" max="7441" width="9.140625" style="2"/>
    <col min="7442" max="7442" width="11" style="2" bestFit="1" customWidth="1"/>
    <col min="7443" max="7443" width="12.85546875" style="2" customWidth="1"/>
    <col min="7444" max="7680" width="9.140625" style="2"/>
    <col min="7681" max="7681" width="46.7109375" style="2" customWidth="1"/>
    <col min="7682" max="7685" width="0" style="2" hidden="1" customWidth="1"/>
    <col min="7686" max="7688" width="19.7109375" style="2" customWidth="1"/>
    <col min="7689" max="7689" width="4.85546875" style="2" customWidth="1"/>
    <col min="7690" max="7692" width="19.7109375" style="2" customWidth="1"/>
    <col min="7693" max="7693" width="4.5703125" style="2" customWidth="1"/>
    <col min="7694" max="7696" width="19.7109375" style="2" customWidth="1"/>
    <col min="7697" max="7697" width="9.140625" style="2"/>
    <col min="7698" max="7698" width="11" style="2" bestFit="1" customWidth="1"/>
    <col min="7699" max="7699" width="12.85546875" style="2" customWidth="1"/>
    <col min="7700" max="7936" width="9.140625" style="2"/>
    <col min="7937" max="7937" width="46.7109375" style="2" customWidth="1"/>
    <col min="7938" max="7941" width="0" style="2" hidden="1" customWidth="1"/>
    <col min="7942" max="7944" width="19.7109375" style="2" customWidth="1"/>
    <col min="7945" max="7945" width="4.85546875" style="2" customWidth="1"/>
    <col min="7946" max="7948" width="19.7109375" style="2" customWidth="1"/>
    <col min="7949" max="7949" width="4.5703125" style="2" customWidth="1"/>
    <col min="7950" max="7952" width="19.7109375" style="2" customWidth="1"/>
    <col min="7953" max="7953" width="9.140625" style="2"/>
    <col min="7954" max="7954" width="11" style="2" bestFit="1" customWidth="1"/>
    <col min="7955" max="7955" width="12.85546875" style="2" customWidth="1"/>
    <col min="7956" max="8192" width="9.140625" style="2"/>
    <col min="8193" max="8193" width="46.7109375" style="2" customWidth="1"/>
    <col min="8194" max="8197" width="0" style="2" hidden="1" customWidth="1"/>
    <col min="8198" max="8200" width="19.7109375" style="2" customWidth="1"/>
    <col min="8201" max="8201" width="4.85546875" style="2" customWidth="1"/>
    <col min="8202" max="8204" width="19.7109375" style="2" customWidth="1"/>
    <col min="8205" max="8205" width="4.5703125" style="2" customWidth="1"/>
    <col min="8206" max="8208" width="19.7109375" style="2" customWidth="1"/>
    <col min="8209" max="8209" width="9.140625" style="2"/>
    <col min="8210" max="8210" width="11" style="2" bestFit="1" customWidth="1"/>
    <col min="8211" max="8211" width="12.85546875" style="2" customWidth="1"/>
    <col min="8212" max="8448" width="9.140625" style="2"/>
    <col min="8449" max="8449" width="46.7109375" style="2" customWidth="1"/>
    <col min="8450" max="8453" width="0" style="2" hidden="1" customWidth="1"/>
    <col min="8454" max="8456" width="19.7109375" style="2" customWidth="1"/>
    <col min="8457" max="8457" width="4.85546875" style="2" customWidth="1"/>
    <col min="8458" max="8460" width="19.7109375" style="2" customWidth="1"/>
    <col min="8461" max="8461" width="4.5703125" style="2" customWidth="1"/>
    <col min="8462" max="8464" width="19.7109375" style="2" customWidth="1"/>
    <col min="8465" max="8465" width="9.140625" style="2"/>
    <col min="8466" max="8466" width="11" style="2" bestFit="1" customWidth="1"/>
    <col min="8467" max="8467" width="12.85546875" style="2" customWidth="1"/>
    <col min="8468" max="8704" width="9.140625" style="2"/>
    <col min="8705" max="8705" width="46.7109375" style="2" customWidth="1"/>
    <col min="8706" max="8709" width="0" style="2" hidden="1" customWidth="1"/>
    <col min="8710" max="8712" width="19.7109375" style="2" customWidth="1"/>
    <col min="8713" max="8713" width="4.85546875" style="2" customWidth="1"/>
    <col min="8714" max="8716" width="19.7109375" style="2" customWidth="1"/>
    <col min="8717" max="8717" width="4.5703125" style="2" customWidth="1"/>
    <col min="8718" max="8720" width="19.7109375" style="2" customWidth="1"/>
    <col min="8721" max="8721" width="9.140625" style="2"/>
    <col min="8722" max="8722" width="11" style="2" bestFit="1" customWidth="1"/>
    <col min="8723" max="8723" width="12.85546875" style="2" customWidth="1"/>
    <col min="8724" max="8960" width="9.140625" style="2"/>
    <col min="8961" max="8961" width="46.7109375" style="2" customWidth="1"/>
    <col min="8962" max="8965" width="0" style="2" hidden="1" customWidth="1"/>
    <col min="8966" max="8968" width="19.7109375" style="2" customWidth="1"/>
    <col min="8969" max="8969" width="4.85546875" style="2" customWidth="1"/>
    <col min="8970" max="8972" width="19.7109375" style="2" customWidth="1"/>
    <col min="8973" max="8973" width="4.5703125" style="2" customWidth="1"/>
    <col min="8974" max="8976" width="19.7109375" style="2" customWidth="1"/>
    <col min="8977" max="8977" width="9.140625" style="2"/>
    <col min="8978" max="8978" width="11" style="2" bestFit="1" customWidth="1"/>
    <col min="8979" max="8979" width="12.85546875" style="2" customWidth="1"/>
    <col min="8980" max="9216" width="9.140625" style="2"/>
    <col min="9217" max="9217" width="46.7109375" style="2" customWidth="1"/>
    <col min="9218" max="9221" width="0" style="2" hidden="1" customWidth="1"/>
    <col min="9222" max="9224" width="19.7109375" style="2" customWidth="1"/>
    <col min="9225" max="9225" width="4.85546875" style="2" customWidth="1"/>
    <col min="9226" max="9228" width="19.7109375" style="2" customWidth="1"/>
    <col min="9229" max="9229" width="4.5703125" style="2" customWidth="1"/>
    <col min="9230" max="9232" width="19.7109375" style="2" customWidth="1"/>
    <col min="9233" max="9233" width="9.140625" style="2"/>
    <col min="9234" max="9234" width="11" style="2" bestFit="1" customWidth="1"/>
    <col min="9235" max="9235" width="12.85546875" style="2" customWidth="1"/>
    <col min="9236" max="9472" width="9.140625" style="2"/>
    <col min="9473" max="9473" width="46.7109375" style="2" customWidth="1"/>
    <col min="9474" max="9477" width="0" style="2" hidden="1" customWidth="1"/>
    <col min="9478" max="9480" width="19.7109375" style="2" customWidth="1"/>
    <col min="9481" max="9481" width="4.85546875" style="2" customWidth="1"/>
    <col min="9482" max="9484" width="19.7109375" style="2" customWidth="1"/>
    <col min="9485" max="9485" width="4.5703125" style="2" customWidth="1"/>
    <col min="9486" max="9488" width="19.7109375" style="2" customWidth="1"/>
    <col min="9489" max="9489" width="9.140625" style="2"/>
    <col min="9490" max="9490" width="11" style="2" bestFit="1" customWidth="1"/>
    <col min="9491" max="9491" width="12.85546875" style="2" customWidth="1"/>
    <col min="9492" max="9728" width="9.140625" style="2"/>
    <col min="9729" max="9729" width="46.7109375" style="2" customWidth="1"/>
    <col min="9730" max="9733" width="0" style="2" hidden="1" customWidth="1"/>
    <col min="9734" max="9736" width="19.7109375" style="2" customWidth="1"/>
    <col min="9737" max="9737" width="4.85546875" style="2" customWidth="1"/>
    <col min="9738" max="9740" width="19.7109375" style="2" customWidth="1"/>
    <col min="9741" max="9741" width="4.5703125" style="2" customWidth="1"/>
    <col min="9742" max="9744" width="19.7109375" style="2" customWidth="1"/>
    <col min="9745" max="9745" width="9.140625" style="2"/>
    <col min="9746" max="9746" width="11" style="2" bestFit="1" customWidth="1"/>
    <col min="9747" max="9747" width="12.85546875" style="2" customWidth="1"/>
    <col min="9748" max="9984" width="9.140625" style="2"/>
    <col min="9985" max="9985" width="46.7109375" style="2" customWidth="1"/>
    <col min="9986" max="9989" width="0" style="2" hidden="1" customWidth="1"/>
    <col min="9990" max="9992" width="19.7109375" style="2" customWidth="1"/>
    <col min="9993" max="9993" width="4.85546875" style="2" customWidth="1"/>
    <col min="9994" max="9996" width="19.7109375" style="2" customWidth="1"/>
    <col min="9997" max="9997" width="4.5703125" style="2" customWidth="1"/>
    <col min="9998" max="10000" width="19.7109375" style="2" customWidth="1"/>
    <col min="10001" max="10001" width="9.140625" style="2"/>
    <col min="10002" max="10002" width="11" style="2" bestFit="1" customWidth="1"/>
    <col min="10003" max="10003" width="12.85546875" style="2" customWidth="1"/>
    <col min="10004" max="10240" width="9.140625" style="2"/>
    <col min="10241" max="10241" width="46.7109375" style="2" customWidth="1"/>
    <col min="10242" max="10245" width="0" style="2" hidden="1" customWidth="1"/>
    <col min="10246" max="10248" width="19.7109375" style="2" customWidth="1"/>
    <col min="10249" max="10249" width="4.85546875" style="2" customWidth="1"/>
    <col min="10250" max="10252" width="19.7109375" style="2" customWidth="1"/>
    <col min="10253" max="10253" width="4.5703125" style="2" customWidth="1"/>
    <col min="10254" max="10256" width="19.7109375" style="2" customWidth="1"/>
    <col min="10257" max="10257" width="9.140625" style="2"/>
    <col min="10258" max="10258" width="11" style="2" bestFit="1" customWidth="1"/>
    <col min="10259" max="10259" width="12.85546875" style="2" customWidth="1"/>
    <col min="10260" max="10496" width="9.140625" style="2"/>
    <col min="10497" max="10497" width="46.7109375" style="2" customWidth="1"/>
    <col min="10498" max="10501" width="0" style="2" hidden="1" customWidth="1"/>
    <col min="10502" max="10504" width="19.7109375" style="2" customWidth="1"/>
    <col min="10505" max="10505" width="4.85546875" style="2" customWidth="1"/>
    <col min="10506" max="10508" width="19.7109375" style="2" customWidth="1"/>
    <col min="10509" max="10509" width="4.5703125" style="2" customWidth="1"/>
    <col min="10510" max="10512" width="19.7109375" style="2" customWidth="1"/>
    <col min="10513" max="10513" width="9.140625" style="2"/>
    <col min="10514" max="10514" width="11" style="2" bestFit="1" customWidth="1"/>
    <col min="10515" max="10515" width="12.85546875" style="2" customWidth="1"/>
    <col min="10516" max="10752" width="9.140625" style="2"/>
    <col min="10753" max="10753" width="46.7109375" style="2" customWidth="1"/>
    <col min="10754" max="10757" width="0" style="2" hidden="1" customWidth="1"/>
    <col min="10758" max="10760" width="19.7109375" style="2" customWidth="1"/>
    <col min="10761" max="10761" width="4.85546875" style="2" customWidth="1"/>
    <col min="10762" max="10764" width="19.7109375" style="2" customWidth="1"/>
    <col min="10765" max="10765" width="4.5703125" style="2" customWidth="1"/>
    <col min="10766" max="10768" width="19.7109375" style="2" customWidth="1"/>
    <col min="10769" max="10769" width="9.140625" style="2"/>
    <col min="10770" max="10770" width="11" style="2" bestFit="1" customWidth="1"/>
    <col min="10771" max="10771" width="12.85546875" style="2" customWidth="1"/>
    <col min="10772" max="11008" width="9.140625" style="2"/>
    <col min="11009" max="11009" width="46.7109375" style="2" customWidth="1"/>
    <col min="11010" max="11013" width="0" style="2" hidden="1" customWidth="1"/>
    <col min="11014" max="11016" width="19.7109375" style="2" customWidth="1"/>
    <col min="11017" max="11017" width="4.85546875" style="2" customWidth="1"/>
    <col min="11018" max="11020" width="19.7109375" style="2" customWidth="1"/>
    <col min="11021" max="11021" width="4.5703125" style="2" customWidth="1"/>
    <col min="11022" max="11024" width="19.7109375" style="2" customWidth="1"/>
    <col min="11025" max="11025" width="9.140625" style="2"/>
    <col min="11026" max="11026" width="11" style="2" bestFit="1" customWidth="1"/>
    <col min="11027" max="11027" width="12.85546875" style="2" customWidth="1"/>
    <col min="11028" max="11264" width="9.140625" style="2"/>
    <col min="11265" max="11265" width="46.7109375" style="2" customWidth="1"/>
    <col min="11266" max="11269" width="0" style="2" hidden="1" customWidth="1"/>
    <col min="11270" max="11272" width="19.7109375" style="2" customWidth="1"/>
    <col min="11273" max="11273" width="4.85546875" style="2" customWidth="1"/>
    <col min="11274" max="11276" width="19.7109375" style="2" customWidth="1"/>
    <col min="11277" max="11277" width="4.5703125" style="2" customWidth="1"/>
    <col min="11278" max="11280" width="19.7109375" style="2" customWidth="1"/>
    <col min="11281" max="11281" width="9.140625" style="2"/>
    <col min="11282" max="11282" width="11" style="2" bestFit="1" customWidth="1"/>
    <col min="11283" max="11283" width="12.85546875" style="2" customWidth="1"/>
    <col min="11284" max="11520" width="9.140625" style="2"/>
    <col min="11521" max="11521" width="46.7109375" style="2" customWidth="1"/>
    <col min="11522" max="11525" width="0" style="2" hidden="1" customWidth="1"/>
    <col min="11526" max="11528" width="19.7109375" style="2" customWidth="1"/>
    <col min="11529" max="11529" width="4.85546875" style="2" customWidth="1"/>
    <col min="11530" max="11532" width="19.7109375" style="2" customWidth="1"/>
    <col min="11533" max="11533" width="4.5703125" style="2" customWidth="1"/>
    <col min="11534" max="11536" width="19.7109375" style="2" customWidth="1"/>
    <col min="11537" max="11537" width="9.140625" style="2"/>
    <col min="11538" max="11538" width="11" style="2" bestFit="1" customWidth="1"/>
    <col min="11539" max="11539" width="12.85546875" style="2" customWidth="1"/>
    <col min="11540" max="11776" width="9.140625" style="2"/>
    <col min="11777" max="11777" width="46.7109375" style="2" customWidth="1"/>
    <col min="11778" max="11781" width="0" style="2" hidden="1" customWidth="1"/>
    <col min="11782" max="11784" width="19.7109375" style="2" customWidth="1"/>
    <col min="11785" max="11785" width="4.85546875" style="2" customWidth="1"/>
    <col min="11786" max="11788" width="19.7109375" style="2" customWidth="1"/>
    <col min="11789" max="11789" width="4.5703125" style="2" customWidth="1"/>
    <col min="11790" max="11792" width="19.7109375" style="2" customWidth="1"/>
    <col min="11793" max="11793" width="9.140625" style="2"/>
    <col min="11794" max="11794" width="11" style="2" bestFit="1" customWidth="1"/>
    <col min="11795" max="11795" width="12.85546875" style="2" customWidth="1"/>
    <col min="11796" max="12032" width="9.140625" style="2"/>
    <col min="12033" max="12033" width="46.7109375" style="2" customWidth="1"/>
    <col min="12034" max="12037" width="0" style="2" hidden="1" customWidth="1"/>
    <col min="12038" max="12040" width="19.7109375" style="2" customWidth="1"/>
    <col min="12041" max="12041" width="4.85546875" style="2" customWidth="1"/>
    <col min="12042" max="12044" width="19.7109375" style="2" customWidth="1"/>
    <col min="12045" max="12045" width="4.5703125" style="2" customWidth="1"/>
    <col min="12046" max="12048" width="19.7109375" style="2" customWidth="1"/>
    <col min="12049" max="12049" width="9.140625" style="2"/>
    <col min="12050" max="12050" width="11" style="2" bestFit="1" customWidth="1"/>
    <col min="12051" max="12051" width="12.85546875" style="2" customWidth="1"/>
    <col min="12052" max="12288" width="9.140625" style="2"/>
    <col min="12289" max="12289" width="46.7109375" style="2" customWidth="1"/>
    <col min="12290" max="12293" width="0" style="2" hidden="1" customWidth="1"/>
    <col min="12294" max="12296" width="19.7109375" style="2" customWidth="1"/>
    <col min="12297" max="12297" width="4.85546875" style="2" customWidth="1"/>
    <col min="12298" max="12300" width="19.7109375" style="2" customWidth="1"/>
    <col min="12301" max="12301" width="4.5703125" style="2" customWidth="1"/>
    <col min="12302" max="12304" width="19.7109375" style="2" customWidth="1"/>
    <col min="12305" max="12305" width="9.140625" style="2"/>
    <col min="12306" max="12306" width="11" style="2" bestFit="1" customWidth="1"/>
    <col min="12307" max="12307" width="12.85546875" style="2" customWidth="1"/>
    <col min="12308" max="12544" width="9.140625" style="2"/>
    <col min="12545" max="12545" width="46.7109375" style="2" customWidth="1"/>
    <col min="12546" max="12549" width="0" style="2" hidden="1" customWidth="1"/>
    <col min="12550" max="12552" width="19.7109375" style="2" customWidth="1"/>
    <col min="12553" max="12553" width="4.85546875" style="2" customWidth="1"/>
    <col min="12554" max="12556" width="19.7109375" style="2" customWidth="1"/>
    <col min="12557" max="12557" width="4.5703125" style="2" customWidth="1"/>
    <col min="12558" max="12560" width="19.7109375" style="2" customWidth="1"/>
    <col min="12561" max="12561" width="9.140625" style="2"/>
    <col min="12562" max="12562" width="11" style="2" bestFit="1" customWidth="1"/>
    <col min="12563" max="12563" width="12.85546875" style="2" customWidth="1"/>
    <col min="12564" max="12800" width="9.140625" style="2"/>
    <col min="12801" max="12801" width="46.7109375" style="2" customWidth="1"/>
    <col min="12802" max="12805" width="0" style="2" hidden="1" customWidth="1"/>
    <col min="12806" max="12808" width="19.7109375" style="2" customWidth="1"/>
    <col min="12809" max="12809" width="4.85546875" style="2" customWidth="1"/>
    <col min="12810" max="12812" width="19.7109375" style="2" customWidth="1"/>
    <col min="12813" max="12813" width="4.5703125" style="2" customWidth="1"/>
    <col min="12814" max="12816" width="19.7109375" style="2" customWidth="1"/>
    <col min="12817" max="12817" width="9.140625" style="2"/>
    <col min="12818" max="12818" width="11" style="2" bestFit="1" customWidth="1"/>
    <col min="12819" max="12819" width="12.85546875" style="2" customWidth="1"/>
    <col min="12820" max="13056" width="9.140625" style="2"/>
    <col min="13057" max="13057" width="46.7109375" style="2" customWidth="1"/>
    <col min="13058" max="13061" width="0" style="2" hidden="1" customWidth="1"/>
    <col min="13062" max="13064" width="19.7109375" style="2" customWidth="1"/>
    <col min="13065" max="13065" width="4.85546875" style="2" customWidth="1"/>
    <col min="13066" max="13068" width="19.7109375" style="2" customWidth="1"/>
    <col min="13069" max="13069" width="4.5703125" style="2" customWidth="1"/>
    <col min="13070" max="13072" width="19.7109375" style="2" customWidth="1"/>
    <col min="13073" max="13073" width="9.140625" style="2"/>
    <col min="13074" max="13074" width="11" style="2" bestFit="1" customWidth="1"/>
    <col min="13075" max="13075" width="12.85546875" style="2" customWidth="1"/>
    <col min="13076" max="13312" width="9.140625" style="2"/>
    <col min="13313" max="13313" width="46.7109375" style="2" customWidth="1"/>
    <col min="13314" max="13317" width="0" style="2" hidden="1" customWidth="1"/>
    <col min="13318" max="13320" width="19.7109375" style="2" customWidth="1"/>
    <col min="13321" max="13321" width="4.85546875" style="2" customWidth="1"/>
    <col min="13322" max="13324" width="19.7109375" style="2" customWidth="1"/>
    <col min="13325" max="13325" width="4.5703125" style="2" customWidth="1"/>
    <col min="13326" max="13328" width="19.7109375" style="2" customWidth="1"/>
    <col min="13329" max="13329" width="9.140625" style="2"/>
    <col min="13330" max="13330" width="11" style="2" bestFit="1" customWidth="1"/>
    <col min="13331" max="13331" width="12.85546875" style="2" customWidth="1"/>
    <col min="13332" max="13568" width="9.140625" style="2"/>
    <col min="13569" max="13569" width="46.7109375" style="2" customWidth="1"/>
    <col min="13570" max="13573" width="0" style="2" hidden="1" customWidth="1"/>
    <col min="13574" max="13576" width="19.7109375" style="2" customWidth="1"/>
    <col min="13577" max="13577" width="4.85546875" style="2" customWidth="1"/>
    <col min="13578" max="13580" width="19.7109375" style="2" customWidth="1"/>
    <col min="13581" max="13581" width="4.5703125" style="2" customWidth="1"/>
    <col min="13582" max="13584" width="19.7109375" style="2" customWidth="1"/>
    <col min="13585" max="13585" width="9.140625" style="2"/>
    <col min="13586" max="13586" width="11" style="2" bestFit="1" customWidth="1"/>
    <col min="13587" max="13587" width="12.85546875" style="2" customWidth="1"/>
    <col min="13588" max="13824" width="9.140625" style="2"/>
    <col min="13825" max="13825" width="46.7109375" style="2" customWidth="1"/>
    <col min="13826" max="13829" width="0" style="2" hidden="1" customWidth="1"/>
    <col min="13830" max="13832" width="19.7109375" style="2" customWidth="1"/>
    <col min="13833" max="13833" width="4.85546875" style="2" customWidth="1"/>
    <col min="13834" max="13836" width="19.7109375" style="2" customWidth="1"/>
    <col min="13837" max="13837" width="4.5703125" style="2" customWidth="1"/>
    <col min="13838" max="13840" width="19.7109375" style="2" customWidth="1"/>
    <col min="13841" max="13841" width="9.140625" style="2"/>
    <col min="13842" max="13842" width="11" style="2" bestFit="1" customWidth="1"/>
    <col min="13843" max="13843" width="12.85546875" style="2" customWidth="1"/>
    <col min="13844" max="14080" width="9.140625" style="2"/>
    <col min="14081" max="14081" width="46.7109375" style="2" customWidth="1"/>
    <col min="14082" max="14085" width="0" style="2" hidden="1" customWidth="1"/>
    <col min="14086" max="14088" width="19.7109375" style="2" customWidth="1"/>
    <col min="14089" max="14089" width="4.85546875" style="2" customWidth="1"/>
    <col min="14090" max="14092" width="19.7109375" style="2" customWidth="1"/>
    <col min="14093" max="14093" width="4.5703125" style="2" customWidth="1"/>
    <col min="14094" max="14096" width="19.7109375" style="2" customWidth="1"/>
    <col min="14097" max="14097" width="9.140625" style="2"/>
    <col min="14098" max="14098" width="11" style="2" bestFit="1" customWidth="1"/>
    <col min="14099" max="14099" width="12.85546875" style="2" customWidth="1"/>
    <col min="14100" max="14336" width="9.140625" style="2"/>
    <col min="14337" max="14337" width="46.7109375" style="2" customWidth="1"/>
    <col min="14338" max="14341" width="0" style="2" hidden="1" customWidth="1"/>
    <col min="14342" max="14344" width="19.7109375" style="2" customWidth="1"/>
    <col min="14345" max="14345" width="4.85546875" style="2" customWidth="1"/>
    <col min="14346" max="14348" width="19.7109375" style="2" customWidth="1"/>
    <col min="14349" max="14349" width="4.5703125" style="2" customWidth="1"/>
    <col min="14350" max="14352" width="19.7109375" style="2" customWidth="1"/>
    <col min="14353" max="14353" width="9.140625" style="2"/>
    <col min="14354" max="14354" width="11" style="2" bestFit="1" customWidth="1"/>
    <col min="14355" max="14355" width="12.85546875" style="2" customWidth="1"/>
    <col min="14356" max="14592" width="9.140625" style="2"/>
    <col min="14593" max="14593" width="46.7109375" style="2" customWidth="1"/>
    <col min="14594" max="14597" width="0" style="2" hidden="1" customWidth="1"/>
    <col min="14598" max="14600" width="19.7109375" style="2" customWidth="1"/>
    <col min="14601" max="14601" width="4.85546875" style="2" customWidth="1"/>
    <col min="14602" max="14604" width="19.7109375" style="2" customWidth="1"/>
    <col min="14605" max="14605" width="4.5703125" style="2" customWidth="1"/>
    <col min="14606" max="14608" width="19.7109375" style="2" customWidth="1"/>
    <col min="14609" max="14609" width="9.140625" style="2"/>
    <col min="14610" max="14610" width="11" style="2" bestFit="1" customWidth="1"/>
    <col min="14611" max="14611" width="12.85546875" style="2" customWidth="1"/>
    <col min="14612" max="14848" width="9.140625" style="2"/>
    <col min="14849" max="14849" width="46.7109375" style="2" customWidth="1"/>
    <col min="14850" max="14853" width="0" style="2" hidden="1" customWidth="1"/>
    <col min="14854" max="14856" width="19.7109375" style="2" customWidth="1"/>
    <col min="14857" max="14857" width="4.85546875" style="2" customWidth="1"/>
    <col min="14858" max="14860" width="19.7109375" style="2" customWidth="1"/>
    <col min="14861" max="14861" width="4.5703125" style="2" customWidth="1"/>
    <col min="14862" max="14864" width="19.7109375" style="2" customWidth="1"/>
    <col min="14865" max="14865" width="9.140625" style="2"/>
    <col min="14866" max="14866" width="11" style="2" bestFit="1" customWidth="1"/>
    <col min="14867" max="14867" width="12.85546875" style="2" customWidth="1"/>
    <col min="14868" max="15104" width="9.140625" style="2"/>
    <col min="15105" max="15105" width="46.7109375" style="2" customWidth="1"/>
    <col min="15106" max="15109" width="0" style="2" hidden="1" customWidth="1"/>
    <col min="15110" max="15112" width="19.7109375" style="2" customWidth="1"/>
    <col min="15113" max="15113" width="4.85546875" style="2" customWidth="1"/>
    <col min="15114" max="15116" width="19.7109375" style="2" customWidth="1"/>
    <col min="15117" max="15117" width="4.5703125" style="2" customWidth="1"/>
    <col min="15118" max="15120" width="19.7109375" style="2" customWidth="1"/>
    <col min="15121" max="15121" width="9.140625" style="2"/>
    <col min="15122" max="15122" width="11" style="2" bestFit="1" customWidth="1"/>
    <col min="15123" max="15123" width="12.85546875" style="2" customWidth="1"/>
    <col min="15124" max="15360" width="9.140625" style="2"/>
    <col min="15361" max="15361" width="46.7109375" style="2" customWidth="1"/>
    <col min="15362" max="15365" width="0" style="2" hidden="1" customWidth="1"/>
    <col min="15366" max="15368" width="19.7109375" style="2" customWidth="1"/>
    <col min="15369" max="15369" width="4.85546875" style="2" customWidth="1"/>
    <col min="15370" max="15372" width="19.7109375" style="2" customWidth="1"/>
    <col min="15373" max="15373" width="4.5703125" style="2" customWidth="1"/>
    <col min="15374" max="15376" width="19.7109375" style="2" customWidth="1"/>
    <col min="15377" max="15377" width="9.140625" style="2"/>
    <col min="15378" max="15378" width="11" style="2" bestFit="1" customWidth="1"/>
    <col min="15379" max="15379" width="12.85546875" style="2" customWidth="1"/>
    <col min="15380" max="15616" width="9.140625" style="2"/>
    <col min="15617" max="15617" width="46.7109375" style="2" customWidth="1"/>
    <col min="15618" max="15621" width="0" style="2" hidden="1" customWidth="1"/>
    <col min="15622" max="15624" width="19.7109375" style="2" customWidth="1"/>
    <col min="15625" max="15625" width="4.85546875" style="2" customWidth="1"/>
    <col min="15626" max="15628" width="19.7109375" style="2" customWidth="1"/>
    <col min="15629" max="15629" width="4.5703125" style="2" customWidth="1"/>
    <col min="15630" max="15632" width="19.7109375" style="2" customWidth="1"/>
    <col min="15633" max="15633" width="9.140625" style="2"/>
    <col min="15634" max="15634" width="11" style="2" bestFit="1" customWidth="1"/>
    <col min="15635" max="15635" width="12.85546875" style="2" customWidth="1"/>
    <col min="15636" max="15872" width="9.140625" style="2"/>
    <col min="15873" max="15873" width="46.7109375" style="2" customWidth="1"/>
    <col min="15874" max="15877" width="0" style="2" hidden="1" customWidth="1"/>
    <col min="15878" max="15880" width="19.7109375" style="2" customWidth="1"/>
    <col min="15881" max="15881" width="4.85546875" style="2" customWidth="1"/>
    <col min="15882" max="15884" width="19.7109375" style="2" customWidth="1"/>
    <col min="15885" max="15885" width="4.5703125" style="2" customWidth="1"/>
    <col min="15886" max="15888" width="19.7109375" style="2" customWidth="1"/>
    <col min="15889" max="15889" width="9.140625" style="2"/>
    <col min="15890" max="15890" width="11" style="2" bestFit="1" customWidth="1"/>
    <col min="15891" max="15891" width="12.85546875" style="2" customWidth="1"/>
    <col min="15892" max="16128" width="9.140625" style="2"/>
    <col min="16129" max="16129" width="46.7109375" style="2" customWidth="1"/>
    <col min="16130" max="16133" width="0" style="2" hidden="1" customWidth="1"/>
    <col min="16134" max="16136" width="19.7109375" style="2" customWidth="1"/>
    <col min="16137" max="16137" width="4.85546875" style="2" customWidth="1"/>
    <col min="16138" max="16140" width="19.7109375" style="2" customWidth="1"/>
    <col min="16141" max="16141" width="4.5703125" style="2" customWidth="1"/>
    <col min="16142" max="16144" width="19.7109375" style="2" customWidth="1"/>
    <col min="16145" max="16145" width="9.140625" style="2"/>
    <col min="16146" max="16146" width="11" style="2" bestFit="1" customWidth="1"/>
    <col min="16147" max="16147" width="12.85546875" style="2" customWidth="1"/>
    <col min="16148" max="16384" width="9.140625" style="2"/>
  </cols>
  <sheetData>
    <row r="1" spans="1:19" s="1" customFormat="1" ht="26.25" customHeight="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9" ht="71.25" customHeight="1" x14ac:dyDescent="0.3">
      <c r="A2" s="80" t="s">
        <v>73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9" ht="15.75" thickBot="1" x14ac:dyDescent="0.3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9" ht="18.75" customHeight="1" x14ac:dyDescent="0.3">
      <c r="A4" s="82" t="s">
        <v>2</v>
      </c>
      <c r="B4" s="84" t="s">
        <v>3</v>
      </c>
      <c r="C4" s="84"/>
      <c r="D4" s="84"/>
      <c r="E4" s="84"/>
      <c r="F4" s="85" t="s">
        <v>4</v>
      </c>
      <c r="G4" s="85"/>
      <c r="H4" s="85"/>
      <c r="I4" s="86"/>
      <c r="J4" s="85" t="s">
        <v>5</v>
      </c>
      <c r="K4" s="85"/>
      <c r="L4" s="85"/>
      <c r="M4" s="86"/>
      <c r="N4" s="85" t="s">
        <v>6</v>
      </c>
      <c r="O4" s="85"/>
      <c r="P4" s="89"/>
    </row>
    <row r="5" spans="1:19" ht="45" x14ac:dyDescent="0.3">
      <c r="A5" s="83"/>
      <c r="B5" s="3" t="s">
        <v>7</v>
      </c>
      <c r="C5" s="3" t="s">
        <v>8</v>
      </c>
      <c r="D5" s="4" t="s">
        <v>9</v>
      </c>
      <c r="E5" s="5" t="s">
        <v>10</v>
      </c>
      <c r="F5" s="6" t="s">
        <v>11</v>
      </c>
      <c r="G5" s="6" t="s">
        <v>12</v>
      </c>
      <c r="H5" s="6" t="s">
        <v>13</v>
      </c>
      <c r="I5" s="87"/>
      <c r="J5" s="6" t="s">
        <v>11</v>
      </c>
      <c r="K5" s="6" t="s">
        <v>12</v>
      </c>
      <c r="L5" s="6" t="s">
        <v>13</v>
      </c>
      <c r="M5" s="87"/>
      <c r="N5" s="6" t="s">
        <v>11</v>
      </c>
      <c r="O5" s="6" t="s">
        <v>12</v>
      </c>
      <c r="P5" s="7" t="s">
        <v>13</v>
      </c>
    </row>
    <row r="6" spans="1:19" s="12" customFormat="1" ht="18" customHeight="1" x14ac:dyDescent="0.3">
      <c r="A6" s="8" t="s">
        <v>14</v>
      </c>
      <c r="B6" s="9" t="e">
        <f>B7+B18+#REF!+#REF!</f>
        <v>#REF!</v>
      </c>
      <c r="C6" s="9" t="e">
        <f>C7+C18+#REF!+#REF!</f>
        <v>#REF!</v>
      </c>
      <c r="D6" s="9" t="e">
        <f>D7+D18+#REF!+#REF!</f>
        <v>#REF!</v>
      </c>
      <c r="E6" s="9" t="e">
        <f>E7+E18+#REF!+#REF!</f>
        <v>#REF!</v>
      </c>
      <c r="F6" s="10">
        <f>F7+F16+F17+F18</f>
        <v>4170</v>
      </c>
      <c r="G6" s="10">
        <f>G7+G16+G17+G18</f>
        <v>29700.7</v>
      </c>
      <c r="H6" s="10">
        <f>H7+H16+H17+H18</f>
        <v>0</v>
      </c>
      <c r="I6" s="87"/>
      <c r="J6" s="10">
        <f>J7+J16+J17+J18</f>
        <v>4170</v>
      </c>
      <c r="K6" s="10">
        <f>K7+K16+K17+K18</f>
        <v>31536.2</v>
      </c>
      <c r="L6" s="10">
        <f>L7+L16+L17+L18</f>
        <v>202.88</v>
      </c>
      <c r="M6" s="87"/>
      <c r="N6" s="10">
        <f>N7+N16+N17+N18</f>
        <v>4100.7085099999995</v>
      </c>
      <c r="O6" s="10">
        <f>O7+O16+O17+O18</f>
        <v>27040.925049999998</v>
      </c>
      <c r="P6" s="10">
        <f>P7+P16+P17+P18</f>
        <v>202.88</v>
      </c>
    </row>
    <row r="7" spans="1:19" s="18" customFormat="1" ht="15.75" customHeight="1" x14ac:dyDescent="0.3">
      <c r="A7" s="13" t="s">
        <v>15</v>
      </c>
      <c r="B7" s="14">
        <f>B8+B9+B15</f>
        <v>0</v>
      </c>
      <c r="C7" s="14">
        <f>C8+C9+C15</f>
        <v>0</v>
      </c>
      <c r="D7" s="14">
        <f>D8+D9+D15</f>
        <v>17768000</v>
      </c>
      <c r="E7" s="14">
        <f>E8+E9+E15</f>
        <v>17768000</v>
      </c>
      <c r="F7" s="15">
        <f>F8+F9</f>
        <v>4170</v>
      </c>
      <c r="G7" s="15">
        <f>G9+G15</f>
        <v>29700.7</v>
      </c>
      <c r="H7" s="15">
        <f>H9+H15</f>
        <v>0</v>
      </c>
      <c r="I7" s="87"/>
      <c r="J7" s="15">
        <f>J8+J9</f>
        <v>4170</v>
      </c>
      <c r="K7" s="15">
        <f>K9+K15</f>
        <v>31536.2</v>
      </c>
      <c r="L7" s="15">
        <f>L9+L15</f>
        <v>202.88</v>
      </c>
      <c r="M7" s="87"/>
      <c r="N7" s="15">
        <f>N8+N9</f>
        <v>4100.7085099999995</v>
      </c>
      <c r="O7" s="15">
        <f>O9+O15</f>
        <v>27040.925049999998</v>
      </c>
      <c r="P7" s="15">
        <f>P9+P15</f>
        <v>202.88</v>
      </c>
      <c r="Q7" s="12"/>
    </row>
    <row r="8" spans="1:19" ht="15.75" customHeight="1" x14ac:dyDescent="0.3">
      <c r="A8" s="19" t="s">
        <v>16</v>
      </c>
      <c r="B8" s="20"/>
      <c r="C8" s="20"/>
      <c r="D8" s="21">
        <f>17000000+768000</f>
        <v>17768000</v>
      </c>
      <c r="E8" s="21">
        <f>SUM(B8:D8)</f>
        <v>17768000</v>
      </c>
      <c r="F8" s="22">
        <v>4170</v>
      </c>
      <c r="G8" s="22"/>
      <c r="H8" s="20"/>
      <c r="I8" s="87"/>
      <c r="J8" s="22">
        <v>4170</v>
      </c>
      <c r="K8" s="22"/>
      <c r="L8" s="20"/>
      <c r="M8" s="87"/>
      <c r="N8" s="22">
        <f>4100708.51/1000</f>
        <v>4100.7085099999995</v>
      </c>
      <c r="O8" s="22"/>
      <c r="P8" s="23"/>
      <c r="Q8" s="12"/>
    </row>
    <row r="9" spans="1:19" ht="15.75" customHeight="1" x14ac:dyDescent="0.3">
      <c r="A9" s="24" t="s">
        <v>17</v>
      </c>
      <c r="B9" s="25">
        <f>B11+B12+B13+B14</f>
        <v>0</v>
      </c>
      <c r="C9" s="25">
        <f>C11+C12+C13+C14</f>
        <v>0</v>
      </c>
      <c r="D9" s="25">
        <f>D11+D12+D13+D14</f>
        <v>0</v>
      </c>
      <c r="E9" s="25">
        <f>E11+E12+E13+E14</f>
        <v>0</v>
      </c>
      <c r="F9" s="22"/>
      <c r="G9" s="22">
        <v>11900</v>
      </c>
      <c r="H9" s="20"/>
      <c r="I9" s="87"/>
      <c r="J9" s="20"/>
      <c r="K9" s="22">
        <f>SUM(K11:K14)</f>
        <v>11900</v>
      </c>
      <c r="L9" s="20"/>
      <c r="M9" s="87"/>
      <c r="N9" s="20"/>
      <c r="O9" s="22">
        <f>SUM(O11:O14)</f>
        <v>12282.765149999999</v>
      </c>
      <c r="P9" s="23"/>
      <c r="Q9" s="12"/>
    </row>
    <row r="10" spans="1:19" s="18" customFormat="1" ht="15.75" customHeight="1" x14ac:dyDescent="0.3">
      <c r="A10" s="26" t="s">
        <v>18</v>
      </c>
      <c r="B10" s="16"/>
      <c r="C10" s="16"/>
      <c r="D10" s="16"/>
      <c r="E10" s="27">
        <f t="shared" ref="E10:E53" si="0">SUM(B10:D10)</f>
        <v>0</v>
      </c>
      <c r="F10" s="15"/>
      <c r="G10" s="22"/>
      <c r="H10" s="16"/>
      <c r="I10" s="87"/>
      <c r="J10" s="16"/>
      <c r="K10" s="22"/>
      <c r="L10" s="16"/>
      <c r="M10" s="87"/>
      <c r="N10" s="16"/>
      <c r="O10" s="22"/>
      <c r="P10" s="17"/>
      <c r="Q10" s="12"/>
      <c r="S10" s="2"/>
    </row>
    <row r="11" spans="1:19" ht="15.75" customHeight="1" x14ac:dyDescent="0.3">
      <c r="A11" s="28" t="s">
        <v>19</v>
      </c>
      <c r="B11" s="20"/>
      <c r="C11" s="20"/>
      <c r="D11" s="20"/>
      <c r="E11" s="21">
        <f t="shared" si="0"/>
        <v>0</v>
      </c>
      <c r="F11" s="22"/>
      <c r="G11" s="22">
        <v>11083</v>
      </c>
      <c r="H11" s="20"/>
      <c r="I11" s="87"/>
      <c r="J11" s="20"/>
      <c r="K11" s="22">
        <v>11083</v>
      </c>
      <c r="L11" s="20"/>
      <c r="M11" s="87"/>
      <c r="N11" s="20"/>
      <c r="O11" s="22">
        <f>11041759.9/1000</f>
        <v>11041.759900000001</v>
      </c>
      <c r="P11" s="23"/>
      <c r="Q11" s="12"/>
    </row>
    <row r="12" spans="1:19" ht="15.75" customHeight="1" x14ac:dyDescent="0.3">
      <c r="A12" s="28" t="s">
        <v>20</v>
      </c>
      <c r="B12" s="20"/>
      <c r="C12" s="20"/>
      <c r="D12" s="20"/>
      <c r="E12" s="21">
        <f>SUM(B12:D12)</f>
        <v>0</v>
      </c>
      <c r="F12" s="22"/>
      <c r="G12" s="22"/>
      <c r="H12" s="20"/>
      <c r="I12" s="87"/>
      <c r="J12" s="20"/>
      <c r="K12" s="22"/>
      <c r="L12" s="20"/>
      <c r="M12" s="87"/>
      <c r="N12" s="20"/>
      <c r="O12" s="22"/>
      <c r="P12" s="23"/>
      <c r="Q12" s="12"/>
    </row>
    <row r="13" spans="1:19" ht="15.75" customHeight="1" x14ac:dyDescent="0.3">
      <c r="A13" s="28" t="s">
        <v>21</v>
      </c>
      <c r="B13" s="20"/>
      <c r="C13" s="20"/>
      <c r="D13" s="20"/>
      <c r="E13" s="21">
        <f t="shared" si="0"/>
        <v>0</v>
      </c>
      <c r="F13" s="22"/>
      <c r="G13" s="22">
        <v>817</v>
      </c>
      <c r="H13" s="20"/>
      <c r="I13" s="87"/>
      <c r="J13" s="20"/>
      <c r="K13" s="22">
        <v>817</v>
      </c>
      <c r="L13" s="20"/>
      <c r="M13" s="87"/>
      <c r="N13" s="20"/>
      <c r="O13" s="22">
        <f>1169973.25/1000</f>
        <v>1169.97325</v>
      </c>
      <c r="P13" s="23"/>
      <c r="Q13" s="12"/>
    </row>
    <row r="14" spans="1:19" ht="15.75" customHeight="1" x14ac:dyDescent="0.3">
      <c r="A14" s="28" t="s">
        <v>22</v>
      </c>
      <c r="B14" s="29"/>
      <c r="C14" s="20"/>
      <c r="D14" s="20"/>
      <c r="E14" s="21">
        <f t="shared" si="0"/>
        <v>0</v>
      </c>
      <c r="F14" s="22"/>
      <c r="G14" s="22"/>
      <c r="H14" s="20"/>
      <c r="I14" s="87"/>
      <c r="J14" s="20"/>
      <c r="K14" s="22"/>
      <c r="L14" s="20"/>
      <c r="M14" s="87"/>
      <c r="N14" s="20"/>
      <c r="O14" s="22">
        <f>71032/1000</f>
        <v>71.031999999999996</v>
      </c>
      <c r="P14" s="23"/>
      <c r="Q14" s="12"/>
    </row>
    <row r="15" spans="1:19" ht="15.75" customHeight="1" x14ac:dyDescent="0.3">
      <c r="A15" s="24" t="s">
        <v>13</v>
      </c>
      <c r="B15" s="29"/>
      <c r="C15" s="20"/>
      <c r="D15" s="20"/>
      <c r="E15" s="21"/>
      <c r="F15" s="22"/>
      <c r="G15" s="22">
        <v>17800.7</v>
      </c>
      <c r="H15" s="20"/>
      <c r="I15" s="87"/>
      <c r="J15" s="20"/>
      <c r="K15" s="20">
        <f>19636200/1000</f>
        <v>19636.2</v>
      </c>
      <c r="L15" s="20">
        <v>202.88</v>
      </c>
      <c r="M15" s="87"/>
      <c r="N15" s="20"/>
      <c r="O15" s="22">
        <f>14758159.9/1000</f>
        <v>14758.159900000001</v>
      </c>
      <c r="P15" s="23">
        <v>202.88</v>
      </c>
      <c r="Q15" s="12"/>
      <c r="S15" s="47"/>
    </row>
    <row r="16" spans="1:19" s="18" customFormat="1" ht="15.75" customHeight="1" x14ac:dyDescent="0.3">
      <c r="A16" s="13" t="s">
        <v>23</v>
      </c>
      <c r="B16" s="30"/>
      <c r="C16" s="16"/>
      <c r="D16" s="16"/>
      <c r="E16" s="27">
        <f t="shared" si="0"/>
        <v>0</v>
      </c>
      <c r="F16" s="15"/>
      <c r="G16" s="31"/>
      <c r="H16" s="16"/>
      <c r="I16" s="87"/>
      <c r="J16" s="16"/>
      <c r="K16" s="16"/>
      <c r="L16" s="16"/>
      <c r="M16" s="87"/>
      <c r="N16" s="16"/>
      <c r="O16" s="16"/>
      <c r="P16" s="17"/>
      <c r="Q16" s="12"/>
    </row>
    <row r="17" spans="1:19" s="18" customFormat="1" ht="15.75" customHeight="1" x14ac:dyDescent="0.3">
      <c r="A17" s="13" t="s">
        <v>24</v>
      </c>
      <c r="B17" s="30"/>
      <c r="C17" s="30">
        <f>55000+2790847.16+55000+6608-234.4+15369.9-1396.19+74038.92+55000+55000+58561.91+36960.64</f>
        <v>3200755.9400000004</v>
      </c>
      <c r="D17" s="32"/>
      <c r="E17" s="27">
        <f t="shared" si="0"/>
        <v>3200755.9400000004</v>
      </c>
      <c r="F17" s="15"/>
      <c r="G17" s="15"/>
      <c r="H17" s="16"/>
      <c r="I17" s="87"/>
      <c r="J17" s="16"/>
      <c r="K17" s="16"/>
      <c r="L17" s="16"/>
      <c r="M17" s="87"/>
      <c r="N17" s="16"/>
      <c r="O17" s="16"/>
      <c r="P17" s="17"/>
      <c r="Q17" s="12"/>
    </row>
    <row r="18" spans="1:19" s="18" customFormat="1" ht="15.75" customHeight="1" x14ac:dyDescent="0.3">
      <c r="A18" s="13" t="s">
        <v>25</v>
      </c>
      <c r="B18" s="16"/>
      <c r="C18" s="16"/>
      <c r="D18" s="16"/>
      <c r="E18" s="27">
        <f t="shared" si="0"/>
        <v>0</v>
      </c>
      <c r="F18" s="15"/>
      <c r="G18" s="15"/>
      <c r="H18" s="16"/>
      <c r="I18" s="87"/>
      <c r="J18" s="16"/>
      <c r="K18" s="16"/>
      <c r="L18" s="16"/>
      <c r="M18" s="87"/>
      <c r="N18" s="16"/>
      <c r="O18" s="16"/>
      <c r="P18" s="17"/>
      <c r="Q18" s="12"/>
    </row>
    <row r="19" spans="1:19" s="12" customFormat="1" ht="15.75" customHeight="1" x14ac:dyDescent="0.3">
      <c r="A19" s="8" t="s">
        <v>26</v>
      </c>
      <c r="B19" s="9">
        <f>B20+B44+B52+B53</f>
        <v>52408646.848450005</v>
      </c>
      <c r="C19" s="9">
        <f>C20+C44+C52+C53</f>
        <v>2505320.1800000006</v>
      </c>
      <c r="D19" s="9">
        <f>D20+D44+D52+D53</f>
        <v>17768000.039999999</v>
      </c>
      <c r="E19" s="9">
        <f>E20+E44+E52+E53</f>
        <v>72681967.068450004</v>
      </c>
      <c r="F19" s="10">
        <f>F20+F52+F53+F44</f>
        <v>4170</v>
      </c>
      <c r="G19" s="10">
        <f>G20+G52+G53+G44</f>
        <v>29700.7</v>
      </c>
      <c r="H19" s="11"/>
      <c r="I19" s="87"/>
      <c r="J19" s="10">
        <f>J20+J52+J53+J44</f>
        <v>4170</v>
      </c>
      <c r="K19" s="10">
        <f>K20+K52+K53+K44</f>
        <v>31777.884000000002</v>
      </c>
      <c r="L19" s="10">
        <f>L28</f>
        <v>202.83779999999999</v>
      </c>
      <c r="M19" s="87"/>
      <c r="N19" s="10">
        <f>N20+N52+N53+N44</f>
        <v>4100.7085800000004</v>
      </c>
      <c r="O19" s="10">
        <f>O20+O52+O53+O44</f>
        <v>27191.002399999998</v>
      </c>
      <c r="P19" s="10">
        <f>P20+P52+P53+P44</f>
        <v>202.8777</v>
      </c>
      <c r="Q19" s="48"/>
      <c r="R19" s="18"/>
    </row>
    <row r="20" spans="1:19" s="18" customFormat="1" ht="15.75" customHeight="1" x14ac:dyDescent="0.3">
      <c r="A20" s="33" t="s">
        <v>27</v>
      </c>
      <c r="B20" s="27">
        <f>B21+B28+B39+B40+B41+B42+B43</f>
        <v>31682326.168450002</v>
      </c>
      <c r="C20" s="27">
        <f>C21+C28+C39+C40+C41+C42+C43</f>
        <v>2496660.5200000005</v>
      </c>
      <c r="D20" s="27">
        <f>D21+D28+D39+D40+D41+D42+D43</f>
        <v>0</v>
      </c>
      <c r="E20" s="27">
        <f t="shared" si="0"/>
        <v>34178986.688450001</v>
      </c>
      <c r="F20" s="15">
        <f>F21+F28+F39+F40+F41+F42+F43</f>
        <v>3757</v>
      </c>
      <c r="G20" s="15">
        <f>G21+G28+G39+G40+G41+G42+G43</f>
        <v>19087</v>
      </c>
      <c r="H20" s="16"/>
      <c r="I20" s="87"/>
      <c r="J20" s="15">
        <f>J21+J28+J39+J40+J41+J42+J43</f>
        <v>3757</v>
      </c>
      <c r="K20" s="15">
        <f>K21+K28+K39+K40+K41+K42+K43</f>
        <v>19306.484</v>
      </c>
      <c r="L20" s="16"/>
      <c r="M20" s="87"/>
      <c r="N20" s="15">
        <f>N21+N28+N39+N40+N41+N42+N43</f>
        <v>3735.7186000000002</v>
      </c>
      <c r="O20" s="15">
        <f>O21+O28+O39+O40+O41+O42+O43</f>
        <v>18627.015099999997</v>
      </c>
      <c r="P20" s="64">
        <f>P28</f>
        <v>202.8777</v>
      </c>
      <c r="Q20" s="48"/>
      <c r="S20" s="31"/>
    </row>
    <row r="21" spans="1:19" s="18" customFormat="1" ht="15.75" customHeight="1" x14ac:dyDescent="0.3">
      <c r="A21" s="34" t="s">
        <v>28</v>
      </c>
      <c r="B21" s="30">
        <f>SUM(B22:B27)</f>
        <v>8879297.0600000005</v>
      </c>
      <c r="C21" s="27">
        <f>SUM(C22:C27)</f>
        <v>0</v>
      </c>
      <c r="D21" s="27">
        <f>SUM(D22:D27)</f>
        <v>0</v>
      </c>
      <c r="E21" s="27">
        <f t="shared" si="0"/>
        <v>8879297.0600000005</v>
      </c>
      <c r="F21" s="15"/>
      <c r="G21" s="15">
        <f>SUM(G22:G27)</f>
        <v>10720</v>
      </c>
      <c r="H21" s="16"/>
      <c r="I21" s="87"/>
      <c r="J21" s="16"/>
      <c r="K21" s="15">
        <f>SUM(K22:K27)</f>
        <v>10076.6</v>
      </c>
      <c r="L21" s="16"/>
      <c r="M21" s="87"/>
      <c r="N21" s="16"/>
      <c r="O21" s="15">
        <f>SUM(O22:O27)</f>
        <v>10040.064000000002</v>
      </c>
      <c r="P21" s="17"/>
      <c r="Q21" s="48"/>
    </row>
    <row r="22" spans="1:19" ht="15.75" customHeight="1" x14ac:dyDescent="0.3">
      <c r="A22" s="35" t="s">
        <v>29</v>
      </c>
      <c r="B22" s="29">
        <v>7644225.0600000005</v>
      </c>
      <c r="C22" s="20"/>
      <c r="D22" s="20"/>
      <c r="E22" s="21">
        <f t="shared" si="0"/>
        <v>7644225.0600000005</v>
      </c>
      <c r="F22" s="22"/>
      <c r="G22" s="22">
        <f>10719840/1000</f>
        <v>10719.84</v>
      </c>
      <c r="H22" s="20"/>
      <c r="I22" s="87"/>
      <c r="J22" s="20"/>
      <c r="K22" s="22">
        <f>9279600/1000</f>
        <v>9279.6</v>
      </c>
      <c r="L22" s="20"/>
      <c r="M22" s="87"/>
      <c r="N22" s="20"/>
      <c r="O22" s="22">
        <f>9271908.3/1000</f>
        <v>9271.908300000001</v>
      </c>
      <c r="P22" s="23"/>
      <c r="Q22" s="48"/>
      <c r="R22" s="18"/>
    </row>
    <row r="23" spans="1:19" ht="15.75" customHeight="1" x14ac:dyDescent="0.3">
      <c r="A23" s="35" t="s">
        <v>30</v>
      </c>
      <c r="B23" s="29"/>
      <c r="C23" s="20"/>
      <c r="D23" s="36"/>
      <c r="E23" s="21">
        <f t="shared" si="0"/>
        <v>0</v>
      </c>
      <c r="F23" s="22"/>
      <c r="G23" s="22"/>
      <c r="H23" s="20"/>
      <c r="I23" s="87"/>
      <c r="J23" s="20"/>
      <c r="K23" s="22"/>
      <c r="L23" s="20"/>
      <c r="M23" s="87"/>
      <c r="N23" s="20"/>
      <c r="O23" s="22"/>
      <c r="P23" s="23"/>
      <c r="Q23" s="48"/>
      <c r="R23" s="18"/>
    </row>
    <row r="24" spans="1:19" ht="15.75" customHeight="1" x14ac:dyDescent="0.3">
      <c r="A24" s="35" t="s">
        <v>31</v>
      </c>
      <c r="B24" s="29">
        <v>1235072</v>
      </c>
      <c r="C24" s="37"/>
      <c r="D24" s="20"/>
      <c r="E24" s="21">
        <f t="shared" si="0"/>
        <v>1235072</v>
      </c>
      <c r="F24" s="22"/>
      <c r="G24" s="22">
        <f>160/1000</f>
        <v>0.16</v>
      </c>
      <c r="H24" s="20"/>
      <c r="I24" s="87"/>
      <c r="J24" s="20"/>
      <c r="K24" s="22">
        <f>690000/1000</f>
        <v>690</v>
      </c>
      <c r="L24" s="20"/>
      <c r="M24" s="87"/>
      <c r="N24" s="20"/>
      <c r="O24" s="22">
        <f>666923.5/1000</f>
        <v>666.92349999999999</v>
      </c>
      <c r="P24" s="23"/>
      <c r="Q24" s="48"/>
      <c r="R24" s="18"/>
    </row>
    <row r="25" spans="1:19" ht="15.75" customHeight="1" x14ac:dyDescent="0.3">
      <c r="A25" s="35" t="s">
        <v>32</v>
      </c>
      <c r="B25" s="20"/>
      <c r="C25" s="20"/>
      <c r="D25" s="20"/>
      <c r="E25" s="21">
        <f t="shared" si="0"/>
        <v>0</v>
      </c>
      <c r="F25" s="22"/>
      <c r="G25" s="22"/>
      <c r="H25" s="20"/>
      <c r="I25" s="87"/>
      <c r="J25" s="20"/>
      <c r="K25" s="22">
        <f>107000/1000</f>
        <v>107</v>
      </c>
      <c r="L25" s="20"/>
      <c r="M25" s="87"/>
      <c r="N25" s="20"/>
      <c r="O25" s="22">
        <f>101232.2/1000</f>
        <v>101.23219999999999</v>
      </c>
      <c r="P25" s="23"/>
      <c r="Q25" s="48"/>
      <c r="R25" s="18"/>
    </row>
    <row r="26" spans="1:19" ht="15.75" customHeight="1" x14ac:dyDescent="0.3">
      <c r="A26" s="35" t="s">
        <v>33</v>
      </c>
      <c r="B26" s="20"/>
      <c r="C26" s="20"/>
      <c r="D26" s="20"/>
      <c r="E26" s="21">
        <f t="shared" si="0"/>
        <v>0</v>
      </c>
      <c r="F26" s="22"/>
      <c r="G26" s="22"/>
      <c r="H26" s="20"/>
      <c r="I26" s="87"/>
      <c r="J26" s="20"/>
      <c r="K26" s="22"/>
      <c r="L26" s="20"/>
      <c r="M26" s="87"/>
      <c r="N26" s="20"/>
      <c r="O26" s="22"/>
      <c r="P26" s="23"/>
      <c r="Q26" s="48"/>
      <c r="R26" s="18"/>
    </row>
    <row r="27" spans="1:19" ht="15.75" customHeight="1" x14ac:dyDescent="0.3">
      <c r="A27" s="35" t="s">
        <v>34</v>
      </c>
      <c r="B27" s="20"/>
      <c r="C27" s="20"/>
      <c r="D27" s="20"/>
      <c r="E27" s="21">
        <f t="shared" si="0"/>
        <v>0</v>
      </c>
      <c r="F27" s="22"/>
      <c r="G27" s="22"/>
      <c r="H27" s="20"/>
      <c r="I27" s="87"/>
      <c r="J27" s="20"/>
      <c r="K27" s="22"/>
      <c r="L27" s="20"/>
      <c r="M27" s="87"/>
      <c r="N27" s="20"/>
      <c r="O27" s="22"/>
      <c r="P27" s="23"/>
      <c r="Q27" s="48"/>
      <c r="R27" s="18"/>
    </row>
    <row r="28" spans="1:19" s="18" customFormat="1" ht="15.75" customHeight="1" x14ac:dyDescent="0.3">
      <c r="A28" s="34" t="s">
        <v>35</v>
      </c>
      <c r="B28" s="27">
        <f t="shared" ref="B28:G28" si="1">SUM(B29:B38)</f>
        <v>16007999.208450003</v>
      </c>
      <c r="C28" s="27">
        <f t="shared" si="1"/>
        <v>2496660.5200000005</v>
      </c>
      <c r="D28" s="27">
        <f t="shared" si="1"/>
        <v>0</v>
      </c>
      <c r="E28" s="27">
        <f t="shared" si="1"/>
        <v>18504659.72845</v>
      </c>
      <c r="F28" s="15">
        <f t="shared" si="1"/>
        <v>3757</v>
      </c>
      <c r="G28" s="15">
        <f t="shared" si="1"/>
        <v>7104.3</v>
      </c>
      <c r="H28" s="16"/>
      <c r="I28" s="87"/>
      <c r="J28" s="15">
        <f>SUM(J29:J38)</f>
        <v>3757</v>
      </c>
      <c r="K28" s="15">
        <f>SUM(K29:K38)</f>
        <v>7948.1840000000011</v>
      </c>
      <c r="L28" s="15">
        <f>SUM(L29:L38)</f>
        <v>202.83779999999999</v>
      </c>
      <c r="M28" s="87"/>
      <c r="N28" s="15">
        <f>SUM(N29:N38)</f>
        <v>3735.7186000000002</v>
      </c>
      <c r="O28" s="15">
        <f>SUM(O29:O38)</f>
        <v>7317.6159999999982</v>
      </c>
      <c r="P28" s="15">
        <f>SUM(P29:P38)</f>
        <v>202.8777</v>
      </c>
      <c r="Q28" s="48"/>
    </row>
    <row r="29" spans="1:19" ht="15.75" customHeight="1" x14ac:dyDescent="0.3">
      <c r="A29" s="35" t="s">
        <v>36</v>
      </c>
      <c r="B29" s="29">
        <v>1742563.23</v>
      </c>
      <c r="C29" s="29">
        <v>2215739.69</v>
      </c>
      <c r="D29" s="20"/>
      <c r="E29" s="21">
        <f t="shared" si="0"/>
        <v>3958302.92</v>
      </c>
      <c r="F29" s="38"/>
      <c r="G29" s="22">
        <v>650</v>
      </c>
      <c r="H29" s="20"/>
      <c r="I29" s="87"/>
      <c r="J29" s="39"/>
      <c r="K29" s="22">
        <f>1219400/1000</f>
        <v>1219.4000000000001</v>
      </c>
      <c r="L29" s="20">
        <f>78511.4/1000</f>
        <v>78.511399999999995</v>
      </c>
      <c r="M29" s="87"/>
      <c r="N29" s="39"/>
      <c r="O29" s="22">
        <f>1219124.3/1000</f>
        <v>1219.1242999999999</v>
      </c>
      <c r="P29" s="23">
        <f>78150.6/1000</f>
        <v>78.150600000000011</v>
      </c>
      <c r="Q29" s="48"/>
      <c r="R29" s="18"/>
    </row>
    <row r="30" spans="1:19" ht="15.75" customHeight="1" x14ac:dyDescent="0.3">
      <c r="A30" s="35" t="s">
        <v>37</v>
      </c>
      <c r="B30" s="29">
        <v>321946.51</v>
      </c>
      <c r="C30" s="29">
        <v>12553.069999999998</v>
      </c>
      <c r="D30" s="20"/>
      <c r="E30" s="21">
        <f t="shared" si="0"/>
        <v>334499.58</v>
      </c>
      <c r="F30" s="40"/>
      <c r="G30" s="22">
        <v>135</v>
      </c>
      <c r="H30" s="20"/>
      <c r="I30" s="87"/>
      <c r="J30" s="41"/>
      <c r="K30" s="22">
        <f>270000/1000</f>
        <v>270</v>
      </c>
      <c r="L30" s="20">
        <f>1193/1000</f>
        <v>1.1930000000000001</v>
      </c>
      <c r="M30" s="87"/>
      <c r="N30" s="41"/>
      <c r="O30" s="22">
        <f>264910.1/1000</f>
        <v>264.9101</v>
      </c>
      <c r="P30" s="23">
        <f>1404.5/1000</f>
        <v>1.4045000000000001</v>
      </c>
      <c r="Q30" s="48"/>
      <c r="R30" s="18"/>
    </row>
    <row r="31" spans="1:19" ht="15.75" customHeight="1" x14ac:dyDescent="0.3">
      <c r="A31" s="35" t="s">
        <v>38</v>
      </c>
      <c r="B31" s="29">
        <v>13125685.168450002</v>
      </c>
      <c r="C31" s="29">
        <v>3870.47</v>
      </c>
      <c r="D31" s="20"/>
      <c r="E31" s="21">
        <f t="shared" si="0"/>
        <v>13129555.638450002</v>
      </c>
      <c r="F31" s="22">
        <f>1826500/1000</f>
        <v>1826.5</v>
      </c>
      <c r="G31" s="22">
        <v>5370.2</v>
      </c>
      <c r="H31" s="20"/>
      <c r="I31" s="87"/>
      <c r="J31" s="20">
        <f>1826500/1000</f>
        <v>1826.5</v>
      </c>
      <c r="K31" s="22">
        <f>5266684/1000</f>
        <v>5266.6840000000002</v>
      </c>
      <c r="L31" s="20"/>
      <c r="M31" s="87"/>
      <c r="N31" s="20">
        <f>1817037.6/1000</f>
        <v>1817.0376000000001</v>
      </c>
      <c r="O31" s="22">
        <f>(4864683.5+36098)/1000</f>
        <v>4900.7815000000001</v>
      </c>
      <c r="P31" s="23">
        <f>187.5/1000</f>
        <v>0.1875</v>
      </c>
      <c r="Q31" s="48"/>
      <c r="R31" s="18"/>
    </row>
    <row r="32" spans="1:19" ht="15.75" customHeight="1" x14ac:dyDescent="0.3">
      <c r="A32" s="35" t="s">
        <v>39</v>
      </c>
      <c r="B32" s="29">
        <v>156899.43</v>
      </c>
      <c r="C32" s="29">
        <v>3746.93</v>
      </c>
      <c r="D32" s="20"/>
      <c r="E32" s="21">
        <f t="shared" si="0"/>
        <v>160646.35999999999</v>
      </c>
      <c r="F32" s="22"/>
      <c r="G32" s="22">
        <v>425</v>
      </c>
      <c r="H32" s="20"/>
      <c r="I32" s="87"/>
      <c r="J32" s="20"/>
      <c r="K32" s="22">
        <f>675000/1000</f>
        <v>675</v>
      </c>
      <c r="L32" s="20">
        <f>1170/1000</f>
        <v>1.17</v>
      </c>
      <c r="M32" s="87"/>
      <c r="N32" s="20"/>
      <c r="O32" s="22">
        <f>482990/1000</f>
        <v>482.99</v>
      </c>
      <c r="P32" s="23">
        <f>1162.7/1000</f>
        <v>1.1627000000000001</v>
      </c>
      <c r="Q32" s="48"/>
      <c r="R32" s="18"/>
    </row>
    <row r="33" spans="1:18" ht="15.75" customHeight="1" x14ac:dyDescent="0.3">
      <c r="A33" s="35" t="s">
        <v>40</v>
      </c>
      <c r="B33" s="29"/>
      <c r="C33" s="20"/>
      <c r="D33" s="20"/>
      <c r="E33" s="21">
        <f t="shared" si="0"/>
        <v>0</v>
      </c>
      <c r="F33" s="22"/>
      <c r="G33" s="22"/>
      <c r="H33" s="20"/>
      <c r="I33" s="87"/>
      <c r="J33" s="20"/>
      <c r="K33" s="22"/>
      <c r="L33" s="20"/>
      <c r="M33" s="87"/>
      <c r="N33" s="20"/>
      <c r="O33" s="22"/>
      <c r="P33" s="23"/>
      <c r="Q33" s="48"/>
      <c r="R33" s="18"/>
    </row>
    <row r="34" spans="1:18" ht="15.75" customHeight="1" x14ac:dyDescent="0.3">
      <c r="A34" s="35" t="s">
        <v>41</v>
      </c>
      <c r="B34" s="29"/>
      <c r="C34" s="20"/>
      <c r="D34" s="20"/>
      <c r="E34" s="21">
        <f t="shared" si="0"/>
        <v>0</v>
      </c>
      <c r="F34" s="22"/>
      <c r="G34" s="22"/>
      <c r="H34" s="20"/>
      <c r="I34" s="87"/>
      <c r="J34" s="20"/>
      <c r="K34" s="22"/>
      <c r="L34" s="20"/>
      <c r="M34" s="87"/>
      <c r="N34" s="20"/>
      <c r="O34" s="22"/>
      <c r="P34" s="23"/>
      <c r="Q34" s="48"/>
      <c r="R34" s="18"/>
    </row>
    <row r="35" spans="1:18" ht="45" x14ac:dyDescent="0.3">
      <c r="A35" s="35" t="s">
        <v>42</v>
      </c>
      <c r="B35" s="29">
        <v>50704.63</v>
      </c>
      <c r="C35" s="20"/>
      <c r="D35" s="20"/>
      <c r="E35" s="21">
        <f t="shared" si="0"/>
        <v>50704.63</v>
      </c>
      <c r="F35" s="22"/>
      <c r="G35" s="22">
        <f>2100/1000</f>
        <v>2.1</v>
      </c>
      <c r="H35" s="20"/>
      <c r="I35" s="87"/>
      <c r="J35" s="20"/>
      <c r="K35" s="22">
        <f>28100/1000</f>
        <v>28.1</v>
      </c>
      <c r="L35" s="20"/>
      <c r="M35" s="87"/>
      <c r="N35" s="20"/>
      <c r="O35" s="22">
        <f>27236.8/1000</f>
        <v>27.236799999999999</v>
      </c>
      <c r="P35" s="23"/>
      <c r="Q35" s="48"/>
      <c r="R35" s="18"/>
    </row>
    <row r="36" spans="1:18" ht="45" x14ac:dyDescent="0.3">
      <c r="A36" s="35" t="s">
        <v>43</v>
      </c>
      <c r="B36" s="29">
        <v>363816.86000000004</v>
      </c>
      <c r="C36" s="29">
        <v>4725.43</v>
      </c>
      <c r="D36" s="20"/>
      <c r="E36" s="21">
        <f t="shared" si="0"/>
        <v>368542.29000000004</v>
      </c>
      <c r="F36" s="22"/>
      <c r="G36" s="22">
        <f>192</f>
        <v>192</v>
      </c>
      <c r="H36" s="20"/>
      <c r="I36" s="87"/>
      <c r="J36" s="20"/>
      <c r="K36" s="22">
        <f>132000/1000</f>
        <v>132</v>
      </c>
      <c r="L36" s="20">
        <f>255/1000</f>
        <v>0.255</v>
      </c>
      <c r="M36" s="87"/>
      <c r="N36" s="20"/>
      <c r="O36" s="22">
        <f>120929.2/1000</f>
        <v>120.92919999999999</v>
      </c>
      <c r="P36" s="23">
        <f>255/1000</f>
        <v>0.255</v>
      </c>
      <c r="Q36" s="48"/>
      <c r="R36" s="18"/>
    </row>
    <row r="37" spans="1:18" ht="30" x14ac:dyDescent="0.3">
      <c r="A37" s="35" t="s">
        <v>44</v>
      </c>
      <c r="B37" s="29"/>
      <c r="C37" s="20"/>
      <c r="D37" s="20"/>
      <c r="E37" s="21">
        <f t="shared" si="0"/>
        <v>0</v>
      </c>
      <c r="F37" s="40"/>
      <c r="G37" s="22"/>
      <c r="H37" s="20"/>
      <c r="I37" s="87"/>
      <c r="J37" s="41"/>
      <c r="K37" s="22"/>
      <c r="L37" s="20"/>
      <c r="M37" s="87"/>
      <c r="N37" s="41"/>
      <c r="O37" s="22"/>
      <c r="P37" s="23"/>
      <c r="Q37" s="48"/>
      <c r="R37" s="18"/>
    </row>
    <row r="38" spans="1:18" ht="15.75" customHeight="1" x14ac:dyDescent="0.3">
      <c r="A38" s="35" t="s">
        <v>45</v>
      </c>
      <c r="B38" s="29">
        <v>246383.37999999998</v>
      </c>
      <c r="C38" s="29">
        <v>256024.93</v>
      </c>
      <c r="D38" s="20"/>
      <c r="E38" s="21">
        <f t="shared" si="0"/>
        <v>502408.30999999994</v>
      </c>
      <c r="F38" s="40">
        <v>1930.5</v>
      </c>
      <c r="G38" s="22">
        <v>330</v>
      </c>
      <c r="H38" s="20"/>
      <c r="I38" s="87"/>
      <c r="J38" s="41">
        <f>1930500/1000</f>
        <v>1930.5</v>
      </c>
      <c r="K38" s="22">
        <f>357000/1000</f>
        <v>357</v>
      </c>
      <c r="L38" s="20">
        <f>121708.4/1000</f>
        <v>121.7084</v>
      </c>
      <c r="M38" s="87"/>
      <c r="N38" s="41">
        <f>1918681/1000</f>
        <v>1918.681</v>
      </c>
      <c r="O38" s="22">
        <f>301644.1/1000</f>
        <v>301.64409999999998</v>
      </c>
      <c r="P38" s="23">
        <f>121717.4/1000</f>
        <v>121.7174</v>
      </c>
      <c r="Q38" s="48"/>
      <c r="R38" s="18"/>
    </row>
    <row r="39" spans="1:18" s="18" customFormat="1" ht="15.75" customHeight="1" x14ac:dyDescent="0.3">
      <c r="A39" s="34" t="s">
        <v>46</v>
      </c>
      <c r="B39" s="30"/>
      <c r="C39" s="16"/>
      <c r="D39" s="16"/>
      <c r="E39" s="27">
        <f t="shared" si="0"/>
        <v>0</v>
      </c>
      <c r="F39" s="15"/>
      <c r="G39" s="22"/>
      <c r="H39" s="16"/>
      <c r="I39" s="87"/>
      <c r="J39" s="16"/>
      <c r="K39" s="22"/>
      <c r="L39" s="16"/>
      <c r="M39" s="87"/>
      <c r="N39" s="16"/>
      <c r="O39" s="22"/>
      <c r="P39" s="17"/>
      <c r="Q39" s="48"/>
    </row>
    <row r="40" spans="1:18" s="18" customFormat="1" ht="15.75" customHeight="1" x14ac:dyDescent="0.3">
      <c r="A40" s="34" t="s">
        <v>47</v>
      </c>
      <c r="B40" s="30"/>
      <c r="C40" s="16"/>
      <c r="D40" s="16"/>
      <c r="E40" s="27">
        <f t="shared" si="0"/>
        <v>0</v>
      </c>
      <c r="F40" s="15"/>
      <c r="G40" s="15"/>
      <c r="H40" s="16"/>
      <c r="I40" s="87"/>
      <c r="J40" s="16"/>
      <c r="K40" s="15"/>
      <c r="L40" s="16"/>
      <c r="M40" s="87"/>
      <c r="N40" s="16"/>
      <c r="O40" s="15"/>
      <c r="P40" s="17"/>
      <c r="Q40" s="48"/>
    </row>
    <row r="41" spans="1:18" s="18" customFormat="1" ht="15.75" customHeight="1" x14ac:dyDescent="0.3">
      <c r="A41" s="34" t="s">
        <v>13</v>
      </c>
      <c r="B41" s="30"/>
      <c r="C41" s="16"/>
      <c r="D41" s="16"/>
      <c r="E41" s="27">
        <f t="shared" si="0"/>
        <v>0</v>
      </c>
      <c r="F41" s="15"/>
      <c r="G41" s="15">
        <v>106</v>
      </c>
      <c r="H41" s="16"/>
      <c r="I41" s="87"/>
      <c r="J41" s="16"/>
      <c r="K41" s="15">
        <v>149</v>
      </c>
      <c r="L41" s="16"/>
      <c r="M41" s="87"/>
      <c r="N41" s="16"/>
      <c r="O41" s="15">
        <f>146800/1000</f>
        <v>146.80000000000001</v>
      </c>
      <c r="P41" s="64"/>
      <c r="Q41" s="48"/>
    </row>
    <row r="42" spans="1:18" s="18" customFormat="1" ht="15.75" customHeight="1" x14ac:dyDescent="0.3">
      <c r="A42" s="34" t="s">
        <v>48</v>
      </c>
      <c r="B42" s="30">
        <v>135705.74</v>
      </c>
      <c r="C42" s="30">
        <v>0</v>
      </c>
      <c r="D42" s="16"/>
      <c r="E42" s="27">
        <f t="shared" si="0"/>
        <v>135705.74</v>
      </c>
      <c r="F42" s="15"/>
      <c r="G42" s="15">
        <v>579.5</v>
      </c>
      <c r="H42" s="16"/>
      <c r="I42" s="87"/>
      <c r="J42" s="16"/>
      <c r="K42" s="15">
        <f>810500/1000</f>
        <v>810.5</v>
      </c>
      <c r="L42" s="16"/>
      <c r="M42" s="87"/>
      <c r="N42" s="16"/>
      <c r="O42" s="15">
        <f>802198.2/1000</f>
        <v>802.19819999999993</v>
      </c>
      <c r="P42" s="17"/>
      <c r="Q42" s="48"/>
    </row>
    <row r="43" spans="1:18" s="18" customFormat="1" ht="15.75" customHeight="1" x14ac:dyDescent="0.3">
      <c r="A43" s="34" t="s">
        <v>49</v>
      </c>
      <c r="B43" s="30">
        <v>6659324.1599999992</v>
      </c>
      <c r="C43" s="16"/>
      <c r="D43" s="16"/>
      <c r="E43" s="27">
        <f t="shared" si="0"/>
        <v>6659324.1599999992</v>
      </c>
      <c r="F43" s="15"/>
      <c r="G43" s="15">
        <v>577.20000000000005</v>
      </c>
      <c r="H43" s="16"/>
      <c r="I43" s="87"/>
      <c r="J43" s="16"/>
      <c r="K43" s="15">
        <f>322200/1000</f>
        <v>322.2</v>
      </c>
      <c r="L43" s="16"/>
      <c r="M43" s="87"/>
      <c r="N43" s="16"/>
      <c r="O43" s="15">
        <f>320336.9/1000</f>
        <v>320.33690000000001</v>
      </c>
      <c r="P43" s="17"/>
      <c r="Q43" s="48"/>
    </row>
    <row r="44" spans="1:18" s="18" customFormat="1" ht="15.75" customHeight="1" x14ac:dyDescent="0.3">
      <c r="A44" s="33" t="s">
        <v>50</v>
      </c>
      <c r="B44" s="14">
        <f t="shared" ref="B44:G44" si="2">B45+B49+B50+B51</f>
        <v>20726320.68</v>
      </c>
      <c r="C44" s="14">
        <f t="shared" si="2"/>
        <v>8659.66</v>
      </c>
      <c r="D44" s="14">
        <f t="shared" si="2"/>
        <v>17768000.039999999</v>
      </c>
      <c r="E44" s="14">
        <f t="shared" si="2"/>
        <v>38502980.380000003</v>
      </c>
      <c r="F44" s="15">
        <f t="shared" si="2"/>
        <v>413</v>
      </c>
      <c r="G44" s="15">
        <f t="shared" si="2"/>
        <v>10613.7</v>
      </c>
      <c r="H44" s="16"/>
      <c r="I44" s="87"/>
      <c r="J44" s="15">
        <f>J45+J49+J50+J51</f>
        <v>413</v>
      </c>
      <c r="K44" s="15">
        <f>K45+K49+K50+K51</f>
        <v>12471.400000000001</v>
      </c>
      <c r="L44" s="15">
        <f>L45+L49+L50+L51</f>
        <v>0</v>
      </c>
      <c r="M44" s="87"/>
      <c r="N44" s="15">
        <f>N45+N49+N50+N51</f>
        <v>364.98998</v>
      </c>
      <c r="O44" s="15">
        <f>O45+O49+O50+O51</f>
        <v>8563.9873000000007</v>
      </c>
      <c r="P44" s="15">
        <f>P45+P49+P50+P51</f>
        <v>0</v>
      </c>
      <c r="Q44" s="48"/>
    </row>
    <row r="45" spans="1:18" s="18" customFormat="1" ht="15.75" customHeight="1" x14ac:dyDescent="0.3">
      <c r="A45" s="34" t="s">
        <v>51</v>
      </c>
      <c r="B45" s="27">
        <f>SUM(B46:B48)</f>
        <v>20726320.68</v>
      </c>
      <c r="C45" s="27">
        <f>SUM(C46:C48)</f>
        <v>8659.66</v>
      </c>
      <c r="D45" s="27">
        <f>SUM(D46:D48)</f>
        <v>17768000.039999999</v>
      </c>
      <c r="E45" s="27">
        <f>SUM(E46:E48)</f>
        <v>38502980.380000003</v>
      </c>
      <c r="F45" s="15">
        <f>F46+F47+F48</f>
        <v>413</v>
      </c>
      <c r="G45" s="15">
        <f>G46+G47+G48</f>
        <v>10613.7</v>
      </c>
      <c r="H45" s="16"/>
      <c r="I45" s="87"/>
      <c r="J45" s="15">
        <f>J46+J47+J48</f>
        <v>413</v>
      </c>
      <c r="K45" s="15">
        <f>K46+K47+K48</f>
        <v>12471.400000000001</v>
      </c>
      <c r="L45" s="15">
        <f>L46+L47+L48</f>
        <v>0</v>
      </c>
      <c r="M45" s="87"/>
      <c r="N45" s="15">
        <f>N46+N47+N48</f>
        <v>364.98998</v>
      </c>
      <c r="O45" s="15">
        <f>O46+O47+O48</f>
        <v>8563.9873000000007</v>
      </c>
      <c r="P45" s="15">
        <f>P46+P47+P48</f>
        <v>0</v>
      </c>
      <c r="Q45" s="48"/>
    </row>
    <row r="46" spans="1:18" ht="15.75" customHeight="1" x14ac:dyDescent="0.3">
      <c r="A46" s="35" t="s">
        <v>52</v>
      </c>
      <c r="B46" s="29">
        <v>15619318.439999999</v>
      </c>
      <c r="C46" s="29">
        <v>0</v>
      </c>
      <c r="D46" s="29">
        <v>10990643.6</v>
      </c>
      <c r="E46" s="21">
        <f t="shared" si="0"/>
        <v>26609962.039999999</v>
      </c>
      <c r="F46" s="22"/>
      <c r="G46" s="22">
        <v>10408.700000000001</v>
      </c>
      <c r="H46" s="20"/>
      <c r="I46" s="87"/>
      <c r="J46" s="20"/>
      <c r="K46" s="22">
        <f>10986200/1000</f>
        <v>10986.2</v>
      </c>
      <c r="L46" s="20"/>
      <c r="M46" s="87"/>
      <c r="N46" s="22"/>
      <c r="O46" s="22">
        <f>7495247.4/1000</f>
        <v>7495.2474000000002</v>
      </c>
      <c r="P46" s="23"/>
      <c r="Q46" s="48"/>
      <c r="R46" s="18"/>
    </row>
    <row r="47" spans="1:18" ht="15.75" customHeight="1" x14ac:dyDescent="0.3">
      <c r="A47" s="35" t="s">
        <v>53</v>
      </c>
      <c r="B47" s="29">
        <v>1975396.44</v>
      </c>
      <c r="C47" s="29">
        <v>8659.66</v>
      </c>
      <c r="D47" s="29">
        <v>0</v>
      </c>
      <c r="E47" s="21">
        <f t="shared" si="0"/>
        <v>1984056.0999999999</v>
      </c>
      <c r="F47" s="22">
        <v>413</v>
      </c>
      <c r="G47" s="22">
        <v>175</v>
      </c>
      <c r="H47" s="20"/>
      <c r="I47" s="87"/>
      <c r="J47" s="20">
        <f>413000/1000</f>
        <v>413</v>
      </c>
      <c r="K47" s="22">
        <f>1131200/1000</f>
        <v>1131.2</v>
      </c>
      <c r="L47" s="20"/>
      <c r="M47" s="87"/>
      <c r="N47" s="22">
        <f>334047.98/1000</f>
        <v>334.04798</v>
      </c>
      <c r="O47" s="22">
        <f>716899.3/1000</f>
        <v>716.89930000000004</v>
      </c>
      <c r="P47" s="23"/>
      <c r="Q47" s="48"/>
      <c r="R47" s="18"/>
    </row>
    <row r="48" spans="1:18" ht="15.75" customHeight="1" x14ac:dyDescent="0.3">
      <c r="A48" s="35" t="s">
        <v>54</v>
      </c>
      <c r="B48" s="29">
        <v>3131605.8</v>
      </c>
      <c r="C48" s="20"/>
      <c r="D48" s="29">
        <v>6777356.4400000004</v>
      </c>
      <c r="E48" s="21">
        <f t="shared" si="0"/>
        <v>9908962.2400000002</v>
      </c>
      <c r="F48" s="22"/>
      <c r="G48" s="22">
        <v>30</v>
      </c>
      <c r="H48" s="20"/>
      <c r="I48" s="87"/>
      <c r="J48" s="20"/>
      <c r="K48" s="22">
        <f>354000/1000</f>
        <v>354</v>
      </c>
      <c r="L48" s="20"/>
      <c r="M48" s="87"/>
      <c r="N48" s="20">
        <f>30942/1000</f>
        <v>30.942</v>
      </c>
      <c r="O48" s="22">
        <f>351840.6/1000</f>
        <v>351.84059999999999</v>
      </c>
      <c r="P48" s="23"/>
      <c r="Q48" s="48"/>
      <c r="R48" s="18"/>
    </row>
    <row r="49" spans="1:17" s="18" customFormat="1" ht="15.75" customHeight="1" x14ac:dyDescent="0.3">
      <c r="A49" s="34" t="s">
        <v>55</v>
      </c>
      <c r="B49" s="16"/>
      <c r="C49" s="16"/>
      <c r="D49" s="16"/>
      <c r="E49" s="27">
        <f t="shared" si="0"/>
        <v>0</v>
      </c>
      <c r="F49" s="15"/>
      <c r="G49" s="22"/>
      <c r="H49" s="16"/>
      <c r="I49" s="87"/>
      <c r="J49" s="16"/>
      <c r="K49" s="22"/>
      <c r="L49" s="16"/>
      <c r="M49" s="87"/>
      <c r="N49" s="16"/>
      <c r="O49" s="22"/>
      <c r="P49" s="17"/>
      <c r="Q49" s="48"/>
    </row>
    <row r="50" spans="1:17" s="18" customFormat="1" ht="15.75" customHeight="1" x14ac:dyDescent="0.3">
      <c r="A50" s="34" t="s">
        <v>56</v>
      </c>
      <c r="B50" s="16"/>
      <c r="C50" s="16"/>
      <c r="D50" s="16"/>
      <c r="E50" s="27">
        <f t="shared" si="0"/>
        <v>0</v>
      </c>
      <c r="F50" s="15"/>
      <c r="G50" s="15"/>
      <c r="H50" s="16"/>
      <c r="I50" s="87"/>
      <c r="J50" s="16"/>
      <c r="K50" s="15"/>
      <c r="L50" s="16"/>
      <c r="M50" s="87"/>
      <c r="N50" s="16"/>
      <c r="O50" s="15"/>
      <c r="P50" s="17"/>
      <c r="Q50" s="48"/>
    </row>
    <row r="51" spans="1:17" s="18" customFormat="1" ht="15.75" customHeight="1" x14ac:dyDescent="0.3">
      <c r="A51" s="34" t="s">
        <v>57</v>
      </c>
      <c r="B51" s="16"/>
      <c r="C51" s="16"/>
      <c r="D51" s="16"/>
      <c r="E51" s="27">
        <f t="shared" si="0"/>
        <v>0</v>
      </c>
      <c r="F51" s="15"/>
      <c r="G51" s="15"/>
      <c r="H51" s="16"/>
      <c r="I51" s="87"/>
      <c r="J51" s="16"/>
      <c r="K51" s="15"/>
      <c r="L51" s="16"/>
      <c r="M51" s="87"/>
      <c r="N51" s="16"/>
      <c r="O51" s="15"/>
      <c r="P51" s="17"/>
      <c r="Q51" s="48"/>
    </row>
    <row r="52" spans="1:17" s="18" customFormat="1" ht="15.75" customHeight="1" x14ac:dyDescent="0.3">
      <c r="A52" s="33" t="s">
        <v>58</v>
      </c>
      <c r="B52" s="16"/>
      <c r="C52" s="16"/>
      <c r="D52" s="16"/>
      <c r="E52" s="27">
        <f t="shared" si="0"/>
        <v>0</v>
      </c>
      <c r="F52" s="15"/>
      <c r="G52" s="15"/>
      <c r="H52" s="16"/>
      <c r="I52" s="87"/>
      <c r="J52" s="16"/>
      <c r="K52" s="15"/>
      <c r="L52" s="16"/>
      <c r="M52" s="87"/>
      <c r="N52" s="16"/>
      <c r="O52" s="15"/>
      <c r="P52" s="17"/>
      <c r="Q52" s="48"/>
    </row>
    <row r="53" spans="1:17" s="18" customFormat="1" ht="15.75" customHeight="1" x14ac:dyDescent="0.3">
      <c r="A53" s="33" t="s">
        <v>59</v>
      </c>
      <c r="B53" s="16"/>
      <c r="C53" s="16"/>
      <c r="D53" s="16"/>
      <c r="E53" s="27">
        <f t="shared" si="0"/>
        <v>0</v>
      </c>
      <c r="F53" s="15"/>
      <c r="G53" s="15"/>
      <c r="H53" s="16"/>
      <c r="I53" s="87"/>
      <c r="J53" s="16"/>
      <c r="K53" s="15"/>
      <c r="L53" s="16"/>
      <c r="M53" s="87"/>
      <c r="N53" s="16"/>
      <c r="O53" s="15"/>
      <c r="P53" s="17"/>
      <c r="Q53" s="48"/>
    </row>
    <row r="54" spans="1:17" s="12" customFormat="1" ht="16.5" customHeight="1" thickBot="1" x14ac:dyDescent="0.35">
      <c r="A54" s="42" t="s">
        <v>60</v>
      </c>
      <c r="B54" s="43" t="e">
        <f t="shared" ref="B54:G54" si="3">B6-B19</f>
        <v>#REF!</v>
      </c>
      <c r="C54" s="43" t="e">
        <f t="shared" si="3"/>
        <v>#REF!</v>
      </c>
      <c r="D54" s="43" t="e">
        <f t="shared" si="3"/>
        <v>#REF!</v>
      </c>
      <c r="E54" s="43" t="e">
        <f t="shared" si="3"/>
        <v>#REF!</v>
      </c>
      <c r="F54" s="44">
        <f t="shared" si="3"/>
        <v>0</v>
      </c>
      <c r="G54" s="44">
        <f t="shared" si="3"/>
        <v>0</v>
      </c>
      <c r="H54" s="45"/>
      <c r="I54" s="88"/>
      <c r="J54" s="44">
        <f>J6-J19</f>
        <v>0</v>
      </c>
      <c r="K54" s="44">
        <f>K6-K19</f>
        <v>-241.68400000000111</v>
      </c>
      <c r="L54" s="45"/>
      <c r="M54" s="88"/>
      <c r="N54" s="44">
        <f>N6-N19</f>
        <v>-7.0000000960135367E-5</v>
      </c>
      <c r="O54" s="44">
        <f>O6-O19</f>
        <v>-150.07734999999957</v>
      </c>
      <c r="P54" s="46"/>
      <c r="Q54" s="48"/>
    </row>
    <row r="55" spans="1:17" ht="32.25" customHeight="1" x14ac:dyDescent="0.3">
      <c r="A55" s="76" t="s">
        <v>61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12"/>
    </row>
    <row r="56" spans="1:17" ht="32.25" customHeight="1" x14ac:dyDescent="0.3">
      <c r="A56" s="78" t="s">
        <v>62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12"/>
    </row>
  </sheetData>
  <mergeCells count="12">
    <mergeCell ref="A55:P55"/>
    <mergeCell ref="A56:P56"/>
    <mergeCell ref="A1:P1"/>
    <mergeCell ref="A2:P2"/>
    <mergeCell ref="A3:P3"/>
    <mergeCell ref="A4:A5"/>
    <mergeCell ref="B4:E4"/>
    <mergeCell ref="F4:H4"/>
    <mergeCell ref="I4:I54"/>
    <mergeCell ref="J4:L4"/>
    <mergeCell ref="M4:M54"/>
    <mergeCell ref="N4:P4"/>
  </mergeCells>
  <printOptions horizontalCentered="1"/>
  <pageMargins left="0.17" right="0.17" top="0.34" bottom="0.34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5-1 და 5-2 ა</vt:lpstr>
      <vt:lpstr>5-1 და 5-2 ბ </vt:lpstr>
      <vt:lpstr>'5-1 და 5-2 ა'!Print_Area</vt:lpstr>
      <vt:lpstr>'5-1 და 5-2 ბ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2019-04-16T19:32:11Z</dcterms:modified>
</cp:coreProperties>
</file>